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03FA019-3477-4033-80B0-296E72B25940}" xr6:coauthVersionLast="47" xr6:coauthVersionMax="47" xr10:uidLastSave="{00000000-0000-0000-0000-000000000000}"/>
  <bookViews>
    <workbookView xWindow="-108" yWindow="-108" windowWidth="23256" windowHeight="13896" activeTab="1" xr2:uid="{04894409-469A-4724-A37C-B369E9D8F01F}"/>
  </bookViews>
  <sheets>
    <sheet name="Vail Rent Split" sheetId="5" r:id="rId1"/>
    <sheet name="Past Due Rent from Vail" sheetId="1" r:id="rId2"/>
    <sheet name="ASC Rent Split" sheetId="7" r:id="rId3"/>
    <sheet name="Past Due Rent from ASC" sheetId="2" r:id="rId4"/>
  </sheets>
  <definedNames>
    <definedName name="_xlnm.Print_Area" localSheetId="3">'Past Due Rent from ASC'!$A$1:$R$33</definedName>
    <definedName name="_xlnm.Print_Area" localSheetId="1">'Past Due Rent from Vail'!$A$1:$O$44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J44" i="5"/>
  <c r="J42" i="5"/>
  <c r="J46" i="5" s="1"/>
  <c r="L46" i="5"/>
  <c r="K44" i="5"/>
  <c r="K42" i="5"/>
  <c r="E33" i="5"/>
  <c r="E31" i="5"/>
  <c r="E22" i="5"/>
  <c r="L13" i="5"/>
  <c r="K11" i="5"/>
  <c r="K9" i="5"/>
  <c r="C46" i="5"/>
  <c r="C35" i="5"/>
  <c r="C24" i="5"/>
  <c r="C46" i="7"/>
  <c r="C35" i="7"/>
  <c r="C24" i="7"/>
  <c r="L35" i="7"/>
  <c r="D44" i="7"/>
  <c r="D42" i="7"/>
  <c r="E42" i="7" s="1"/>
  <c r="J42" i="7" s="1"/>
  <c r="F33" i="7"/>
  <c r="F31" i="7"/>
  <c r="E22" i="7"/>
  <c r="J22" i="7" s="1"/>
  <c r="D25" i="2"/>
  <c r="E25" i="2"/>
  <c r="F25" i="2"/>
  <c r="G25" i="2"/>
  <c r="C25" i="2"/>
  <c r="K35" i="7"/>
  <c r="L33" i="7"/>
  <c r="L31" i="7"/>
  <c r="D31" i="7"/>
  <c r="E20" i="7"/>
  <c r="C13" i="7"/>
  <c r="K11" i="7" s="1"/>
  <c r="E44" i="5"/>
  <c r="E42" i="5"/>
  <c r="J40" i="5"/>
  <c r="K35" i="5"/>
  <c r="L33" i="5"/>
  <c r="D33" i="5"/>
  <c r="L31" i="5"/>
  <c r="D31" i="5"/>
  <c r="E20" i="5"/>
  <c r="J13" i="5"/>
  <c r="C13" i="5"/>
  <c r="K9" i="7" l="1"/>
  <c r="E44" i="7"/>
  <c r="E46" i="5"/>
  <c r="E24" i="7"/>
  <c r="J20" i="7"/>
  <c r="L11" i="7"/>
  <c r="J20" i="5"/>
  <c r="J22" i="5"/>
  <c r="E46" i="7" l="1"/>
  <c r="J44" i="7"/>
  <c r="J46" i="7" s="1"/>
  <c r="J24" i="7"/>
  <c r="K22" i="7" s="1"/>
  <c r="L9" i="5"/>
  <c r="L11" i="5"/>
  <c r="E24" i="5"/>
  <c r="J24" i="5"/>
  <c r="K22" i="5" s="1"/>
  <c r="L22" i="7" l="1"/>
  <c r="L44" i="7" s="1"/>
  <c r="L9" i="7"/>
  <c r="L13" i="7" s="1"/>
  <c r="K13" i="7"/>
  <c r="K20" i="7"/>
  <c r="L44" i="5"/>
  <c r="L22" i="5"/>
  <c r="K20" i="5"/>
  <c r="K13" i="5"/>
  <c r="L20" i="7" l="1"/>
  <c r="K24" i="7"/>
  <c r="K24" i="5"/>
  <c r="L20" i="5"/>
  <c r="L24" i="7" l="1"/>
  <c r="L42" i="7"/>
  <c r="L46" i="7" s="1"/>
  <c r="R29" i="2" l="1"/>
  <c r="B23" i="2"/>
  <c r="C23" i="2" s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C28" i="1"/>
  <c r="D28" i="1" s="1"/>
  <c r="K42" i="7" l="1"/>
  <c r="K46" i="7" s="1"/>
  <c r="K44" i="7"/>
  <c r="K46" i="5"/>
  <c r="L42" i="5"/>
  <c r="C29" i="2"/>
  <c r="D23" i="2"/>
  <c r="E23" i="2" s="1"/>
  <c r="F23" i="2" s="1"/>
  <c r="G23" i="2" s="1"/>
  <c r="H34" i="1"/>
  <c r="D38" i="1"/>
  <c r="E28" i="1"/>
  <c r="C42" i="1"/>
  <c r="C31" i="2" l="1"/>
  <c r="D29" i="2" s="1"/>
  <c r="D31" i="2" s="1"/>
  <c r="E29" i="2" s="1"/>
  <c r="I34" i="1"/>
  <c r="E38" i="1"/>
  <c r="F28" i="1"/>
  <c r="J34" i="1" l="1"/>
  <c r="E31" i="2"/>
  <c r="F29" i="2" s="1"/>
  <c r="G28" i="1"/>
  <c r="F38" i="1"/>
  <c r="K34" i="1" l="1"/>
  <c r="F31" i="2"/>
  <c r="G29" i="2" s="1"/>
  <c r="H28" i="1"/>
  <c r="L34" i="1" l="1"/>
  <c r="G38" i="1"/>
  <c r="G31" i="2"/>
  <c r="H29" i="2" s="1"/>
  <c r="I28" i="1"/>
  <c r="M34" i="1" l="1"/>
  <c r="N34" i="1"/>
  <c r="H38" i="1"/>
  <c r="H31" i="2"/>
  <c r="I29" i="2" s="1"/>
  <c r="J28" i="1"/>
  <c r="I38" i="1" l="1"/>
  <c r="I31" i="2"/>
  <c r="J29" i="2" s="1"/>
  <c r="K28" i="1"/>
  <c r="J38" i="1" l="1"/>
  <c r="J31" i="2"/>
  <c r="K29" i="2" s="1"/>
  <c r="L28" i="1"/>
  <c r="K38" i="1" l="1"/>
  <c r="K31" i="2"/>
  <c r="L29" i="2" s="1"/>
  <c r="M28" i="1"/>
  <c r="L38" i="1" l="1"/>
  <c r="L31" i="2"/>
  <c r="M29" i="2" s="1"/>
  <c r="N28" i="1"/>
  <c r="N38" i="1" s="1"/>
  <c r="M38" i="1" l="1"/>
  <c r="M31" i="2"/>
  <c r="N29" i="2" s="1"/>
  <c r="N31" i="2" s="1"/>
  <c r="O29" i="2" s="1"/>
  <c r="O31" i="2" s="1"/>
  <c r="P29" i="2" s="1"/>
  <c r="P31" i="2" s="1"/>
  <c r="Q29" i="2" s="1"/>
  <c r="Q31" i="2" s="1"/>
  <c r="C38" i="1" l="1"/>
  <c r="C44" i="1" s="1"/>
  <c r="D42" i="1" s="1"/>
  <c r="D44" i="1" s="1"/>
  <c r="E42" i="1" s="1"/>
  <c r="E44" i="1" s="1"/>
  <c r="F42" i="1" s="1"/>
  <c r="F44" i="1" s="1"/>
  <c r="G42" i="1" s="1"/>
  <c r="G44" i="1" s="1"/>
  <c r="H42" i="1" s="1"/>
  <c r="H44" i="1" s="1"/>
  <c r="I42" i="1" s="1"/>
  <c r="I44" i="1" s="1"/>
  <c r="J42" i="1" s="1"/>
  <c r="J44" i="1" s="1"/>
  <c r="K42" i="1" s="1"/>
  <c r="K44" i="1" s="1"/>
  <c r="L42" i="1" s="1"/>
  <c r="L44" i="1" s="1"/>
  <c r="M42" i="1" s="1"/>
  <c r="M44" i="1" s="1"/>
  <c r="N42" i="1" s="1"/>
  <c r="N44" i="1" s="1"/>
</calcChain>
</file>

<file path=xl/sharedStrings.xml><?xml version="1.0" encoding="utf-8"?>
<sst xmlns="http://schemas.openxmlformats.org/spreadsheetml/2006/main" count="308" uniqueCount="99">
  <si>
    <t>Item</t>
  </si>
  <si>
    <t>Notes:</t>
  </si>
  <si>
    <t>1.  Today's Park City Resort (the "Resort") is comprised of the former PCMR and the Canyons.</t>
  </si>
  <si>
    <t>Source/Comments</t>
  </si>
  <si>
    <t>4.  The Lease predated but anticipated Vail's future purchase of the PCMR.</t>
  </si>
  <si>
    <t xml:space="preserve"> </t>
  </si>
  <si>
    <t xml:space="preserve">2.  The May 29, 2013 lease between Talisker and Vail (the "Lease") is for Talisker's "Owned Land". </t>
  </si>
  <si>
    <t>3.  As required by the Lease, Talisker simultaneously assigned the "Easement Properties" to Vail</t>
  </si>
  <si>
    <t>Statutory interest rate</t>
  </si>
  <si>
    <t>Last Year's Past Due Rent plus 10% statutory interest</t>
  </si>
  <si>
    <t>confirm with litigator</t>
  </si>
  <si>
    <t>discover from Vail</t>
  </si>
  <si>
    <t>From Vail's SEC filings</t>
  </si>
  <si>
    <t>6.  The Lease's Participating Rent is an additional 42% of the amount Vail's EBITDA from the Resort exceeds $35 MM. This structure covered Vail's desired acquisition and addition of the PCMR.</t>
  </si>
  <si>
    <t>NA</t>
  </si>
  <si>
    <t>3.  Talisker acquired ASC by merger on July 1, 2008</t>
  </si>
  <si>
    <t>2.  IMA pulled building permits for the Timberline and Iron Mountain ski lifts in late spring of 2008.</t>
  </si>
  <si>
    <t>Current Rent plus Participating Rent plus CapEx Rent</t>
  </si>
  <si>
    <t>Statutory interest rate on past due rent</t>
  </si>
  <si>
    <t>Parcel B annual Participating Rent at 42% of EBITDA above $35 MM</t>
  </si>
  <si>
    <t>Parcel B CapEx Rent, unknown at present</t>
  </si>
  <si>
    <t>Estimated EBITDA with 10% annual growth</t>
  </si>
  <si>
    <t>estimated</t>
  </si>
  <si>
    <t>6.   I estimated that the equivalent to rent increased annually by</t>
  </si>
  <si>
    <t>5.  The Lease's base rent is $25 MM/year,  with an annual CPI adjuster with a floor of 2%.  I have used the floor, not the actual CPI's.</t>
  </si>
  <si>
    <t>7.  The Resort's EBITDA is not available from ASC's and Vail's SEC filings.  I have estimated for the year ending 5/28/2014, and increased it annually by:</t>
  </si>
  <si>
    <r>
      <t xml:space="preserve">8.  The Lease also requires Vail to pay Talisker 10% of their CapEx for the prior year.  </t>
    </r>
    <r>
      <rPr>
        <sz val="11"/>
        <color rgb="FFFF0000"/>
        <rFont val="Aptos Narrow"/>
        <family val="2"/>
        <scheme val="minor"/>
      </rPr>
      <t>(Check this)</t>
    </r>
  </si>
  <si>
    <t>confirm with forensic accountant</t>
  </si>
  <si>
    <t xml:space="preserve">     Total Past Due Rent as of  May 29, 2025</t>
  </si>
  <si>
    <t>Owner</t>
  </si>
  <si>
    <t>Land Description</t>
  </si>
  <si>
    <t>Total Acres</t>
  </si>
  <si>
    <t>Operator</t>
  </si>
  <si>
    <t>Operator's Standing</t>
  </si>
  <si>
    <t>Average Abilty Level</t>
  </si>
  <si>
    <t>Skier per Acre</t>
  </si>
  <si>
    <t>Total Skiers</t>
  </si>
  <si>
    <t>Acres %</t>
  </si>
  <si>
    <t>Rent Split</t>
  </si>
  <si>
    <t>Talisker</t>
  </si>
  <si>
    <t>Owned Land</t>
  </si>
  <si>
    <t>Vail</t>
  </si>
  <si>
    <t>tenant</t>
  </si>
  <si>
    <t>mixed, TBD</t>
  </si>
  <si>
    <t>Uiniversity Impact</t>
  </si>
  <si>
    <t>Parcel B</t>
  </si>
  <si>
    <t>none</t>
  </si>
  <si>
    <t>intermediate</t>
  </si>
  <si>
    <t>Totals</t>
  </si>
  <si>
    <t>Acres</t>
  </si>
  <si>
    <t>Skiers %</t>
  </si>
  <si>
    <t>Actual Distribution of Vail's Rent Since May 29, 2013</t>
  </si>
  <si>
    <t>Rent %</t>
  </si>
  <si>
    <t>1.  The disturbed percentages shaded yellow are an educated approximation. We will insert more accurate numbers once we have studied an overlay of these parcel's boundaries on the aerial photo base.</t>
  </si>
  <si>
    <t>2.  The skier metrics shaded green are an educated approximation.  We will insert more accurate numbers once we have studied an overlay of these parcel's boundaries on the aerial photo base.</t>
  </si>
  <si>
    <t>Vail's Base Rent for lease year one</t>
  </si>
  <si>
    <t>Ownership Split by Acres</t>
  </si>
  <si>
    <t>Ownership Split After Adjustments</t>
  </si>
  <si>
    <t>Proposed Distribution of Vail's Rent with Adjustments</t>
  </si>
  <si>
    <t>Estimated ASC Base Rent for year one use</t>
  </si>
  <si>
    <t>Actual Distribution of ASC's Rent Since August 18, 2010</t>
  </si>
  <si>
    <t>Proposed Distribution of ASC's Rent with Adjustments</t>
  </si>
  <si>
    <t>(8/18)2010</t>
  </si>
  <si>
    <t>4.  Talisker/ASC operated the Canyons with Parcel B  from August 18, 2010 to May 29, 2013</t>
  </si>
  <si>
    <t>(8/18)2011</t>
  </si>
  <si>
    <t>(8/18)2012</t>
  </si>
  <si>
    <t>(8/18)2013</t>
  </si>
  <si>
    <t>(8/18)2014</t>
  </si>
  <si>
    <t>(8/18)2015</t>
  </si>
  <si>
    <t>(8/18)2016</t>
  </si>
  <si>
    <t>(8/18)2017</t>
  </si>
  <si>
    <t>(8/18)2018</t>
  </si>
  <si>
    <t>(8/18)2019</t>
  </si>
  <si>
    <t>(8/18)2020</t>
  </si>
  <si>
    <t>(8/18)2021</t>
  </si>
  <si>
    <t>(8/18)2022</t>
  </si>
  <si>
    <t>(8/18)2023</t>
  </si>
  <si>
    <t>(8/18)2024</t>
  </si>
  <si>
    <t>(8/18)2025</t>
  </si>
  <si>
    <t>5.  Based upon the subsequent lease with Vail, I estimated that Canyons rent for the first year  would have been:</t>
  </si>
  <si>
    <t>Vail's Annual Base Rent plus CPI adjustments</t>
  </si>
  <si>
    <t>Estimated Annual Base Rent for Canyons resort with CPI adjustments</t>
  </si>
  <si>
    <t>1.  The disturbed percentages shaded yellow are an educated approximation. We may adjust these numbers once we have studied an overlay of these parcel's boundaries on the aerial photo base.</t>
  </si>
  <si>
    <t>2.  The skier metrics shaded green are an educated approximation.  We may adjust these numbers once we have studied an overlay of these parcel's boundaries on the aerial photo base.</t>
  </si>
  <si>
    <t>Skied Acres</t>
  </si>
  <si>
    <t>ASC</t>
  </si>
  <si>
    <t>owner</t>
  </si>
  <si>
    <t>Percent Skied</t>
  </si>
  <si>
    <t>9.  The "Owned Land" and the Parcel B land do not have equal value.  See sheet entitled ASC Rent Split for adjustments and conclusions.</t>
  </si>
  <si>
    <t>10.  The "Owned Land" and the Parcel B land do not have equal value.  See sheet entitled Vail Rent Split for adjustments and conclusions.</t>
  </si>
  <si>
    <t>9. As of May 29, 2025, no amendment to the lease had been recorded</t>
  </si>
  <si>
    <t>Parcel B's  Share of Vail's Annual Base Rent (see Vail Rent Split sheet)</t>
  </si>
  <si>
    <t>Parcel B's Share  of Estimated Annual Base Rent (see ASC Rent Split sheet)</t>
  </si>
  <si>
    <t>Valuation of Owned Land and Parcel B  Adjusted for Skier Use and Skier Metrics</t>
  </si>
  <si>
    <t>Valuation of Owned Land and Parcel B Adjusted for Skier Use and Skier Metrics</t>
  </si>
  <si>
    <t>Skiers per Acre</t>
  </si>
  <si>
    <t>not considered</t>
  </si>
  <si>
    <t>Colony Parcel B Rent Past Due from ASC,  September 22, 2025</t>
  </si>
  <si>
    <t>Colony Parcel B Rent Past Due from Vail,  September 22,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</si>
</sst>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5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 applyAlignment="1">
      <alignment vertical="top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1" fillId="0" borderId="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5" xfId="0" applyBorder="1"/>
    <xf numFmtId="0" fontId="0" fillId="0" borderId="5" xfId="0" applyBorder="1" applyAlignment="1">
      <alignment vertical="top" wrapText="1"/>
    </xf>
    <xf numFmtId="164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top"/>
    </xf>
    <xf numFmtId="0" fontId="0" fillId="0" borderId="5" xfId="0" applyBorder="1" applyAlignment="1">
      <alignment wrapText="1"/>
    </xf>
    <xf numFmtId="9" fontId="0" fillId="0" borderId="0" xfId="0" applyNumberFormat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wrapText="1"/>
    </xf>
    <xf numFmtId="0" fontId="0" fillId="0" borderId="7" xfId="0" applyBorder="1"/>
    <xf numFmtId="0" fontId="0" fillId="0" borderId="1" xfId="0" applyBorder="1" applyAlignment="1">
      <alignment wrapText="1"/>
    </xf>
    <xf numFmtId="164" fontId="0" fillId="2" borderId="0" xfId="0" applyNumberFormat="1" applyFill="1" applyAlignment="1">
      <alignment horizontal="center" vertical="top" wrapText="1"/>
    </xf>
    <xf numFmtId="0" fontId="0" fillId="2" borderId="5" xfId="0" applyFill="1" applyBorder="1"/>
    <xf numFmtId="16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0" fillId="0" borderId="1" xfId="0" applyBorder="1"/>
    <xf numFmtId="0" fontId="0" fillId="3" borderId="5" xfId="0" applyFill="1" applyBorder="1" applyAlignment="1">
      <alignment vertical="top"/>
    </xf>
    <xf numFmtId="0" fontId="0" fillId="3" borderId="5" xfId="0" applyFill="1" applyBorder="1"/>
    <xf numFmtId="164" fontId="3" fillId="3" borderId="0" xfId="0" applyNumberFormat="1" applyFont="1" applyFill="1" applyAlignment="1">
      <alignment horizontal="center" wrapText="1"/>
    </xf>
    <xf numFmtId="0" fontId="1" fillId="0" borderId="0" xfId="0" applyFont="1"/>
    <xf numFmtId="6" fontId="7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0" fontId="6" fillId="0" borderId="0" xfId="0" applyNumberFormat="1" applyFont="1" applyAlignment="1">
      <alignment horizontal="center"/>
    </xf>
    <xf numFmtId="6" fontId="7" fillId="0" borderId="6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6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9" fontId="0" fillId="0" borderId="1" xfId="0" applyNumberFormat="1" applyBorder="1"/>
    <xf numFmtId="0" fontId="6" fillId="0" borderId="1" xfId="0" applyFont="1" applyBorder="1"/>
    <xf numFmtId="6" fontId="0" fillId="0" borderId="8" xfId="0" applyNumberFormat="1" applyBorder="1" applyAlignment="1">
      <alignment horizontal="center"/>
    </xf>
    <xf numFmtId="9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6" fillId="0" borderId="3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164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vertical="top" wrapText="1"/>
    </xf>
    <xf numFmtId="6" fontId="10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618A-52B8-4FB4-8B55-D97A6E849227}">
  <dimension ref="A1:L57"/>
  <sheetViews>
    <sheetView topLeftCell="A13" workbookViewId="0">
      <selection activeCell="D46" sqref="D46"/>
    </sheetView>
  </sheetViews>
  <sheetFormatPr defaultRowHeight="14.4" x14ac:dyDescent="0.3"/>
  <cols>
    <col min="1" max="1" width="16.77734375" customWidth="1"/>
    <col min="2" max="2" width="18.77734375" customWidth="1"/>
    <col min="3" max="6" width="14.77734375" customWidth="1"/>
    <col min="7" max="8" width="19" customWidth="1"/>
    <col min="9" max="12" width="14.77734375" customWidth="1"/>
  </cols>
  <sheetData>
    <row r="1" spans="1:12" x14ac:dyDescent="0.3">
      <c r="A1" s="45" t="s">
        <v>94</v>
      </c>
      <c r="L1" s="10"/>
    </row>
    <row r="2" spans="1:12" x14ac:dyDescent="0.3">
      <c r="A2" s="45"/>
      <c r="L2" s="10"/>
    </row>
    <row r="3" spans="1:12" x14ac:dyDescent="0.3">
      <c r="A3" s="45" t="s">
        <v>55</v>
      </c>
      <c r="E3" s="46">
        <v>25000000</v>
      </c>
      <c r="L3" s="10"/>
    </row>
    <row r="4" spans="1:12" ht="7.2" customHeight="1" x14ac:dyDescent="0.3">
      <c r="A4" s="45"/>
      <c r="F4" s="47"/>
      <c r="L4" s="10"/>
    </row>
    <row r="5" spans="1:12" x14ac:dyDescent="0.3">
      <c r="A5" s="45" t="s">
        <v>56</v>
      </c>
      <c r="L5" s="10"/>
    </row>
    <row r="6" spans="1:12" ht="7.2" customHeight="1" x14ac:dyDescent="0.3">
      <c r="L6" s="10"/>
    </row>
    <row r="7" spans="1:12" x14ac:dyDescent="0.3">
      <c r="A7" s="48" t="s">
        <v>29</v>
      </c>
      <c r="B7" s="48" t="s">
        <v>30</v>
      </c>
      <c r="C7" s="48" t="s">
        <v>31</v>
      </c>
      <c r="D7" s="48" t="s">
        <v>87</v>
      </c>
      <c r="E7" s="48" t="s">
        <v>84</v>
      </c>
      <c r="F7" s="48" t="s">
        <v>32</v>
      </c>
      <c r="G7" s="48" t="s">
        <v>33</v>
      </c>
      <c r="H7" s="48" t="s">
        <v>34</v>
      </c>
      <c r="I7" s="48" t="s">
        <v>35</v>
      </c>
      <c r="J7" s="48" t="s">
        <v>36</v>
      </c>
      <c r="K7" s="48" t="s">
        <v>37</v>
      </c>
      <c r="L7" s="49" t="s">
        <v>38</v>
      </c>
    </row>
    <row r="8" spans="1:12" ht="7.2" customHeight="1" x14ac:dyDescent="0.3">
      <c r="A8" s="9"/>
      <c r="B8" s="9"/>
      <c r="C8" s="9"/>
      <c r="D8" s="9"/>
      <c r="E8" s="50"/>
      <c r="F8" s="50"/>
      <c r="G8" s="50"/>
      <c r="H8" s="9"/>
      <c r="I8" s="9"/>
      <c r="J8" s="50"/>
      <c r="K8" s="9"/>
      <c r="L8" s="10"/>
    </row>
    <row r="9" spans="1:12" x14ac:dyDescent="0.3">
      <c r="A9" s="9" t="s">
        <v>39</v>
      </c>
      <c r="B9" s="9" t="s">
        <v>40</v>
      </c>
      <c r="C9" s="50">
        <v>2546</v>
      </c>
      <c r="D9" s="54" t="s">
        <v>96</v>
      </c>
      <c r="E9" s="54" t="s">
        <v>96</v>
      </c>
      <c r="F9" s="50" t="s">
        <v>41</v>
      </c>
      <c r="G9" s="50" t="s">
        <v>42</v>
      </c>
      <c r="H9" s="54" t="s">
        <v>96</v>
      </c>
      <c r="I9" s="54" t="s">
        <v>96</v>
      </c>
      <c r="J9" s="54" t="s">
        <v>96</v>
      </c>
      <c r="K9" s="52">
        <f>+C9/C13</f>
        <v>0.97529582568789774</v>
      </c>
      <c r="L9" s="53">
        <f>+K9*(E3)</f>
        <v>24382395.642197445</v>
      </c>
    </row>
    <row r="10" spans="1:12" ht="7.2" customHeight="1" x14ac:dyDescent="0.3">
      <c r="A10" s="9"/>
      <c r="B10" s="9"/>
      <c r="C10" s="50"/>
      <c r="D10" s="54"/>
      <c r="E10" s="51"/>
      <c r="F10" s="50"/>
      <c r="G10" s="50"/>
      <c r="H10" s="9"/>
      <c r="I10" s="9"/>
      <c r="J10" s="50"/>
      <c r="K10" s="52"/>
      <c r="L10" s="53"/>
    </row>
    <row r="11" spans="1:12" x14ac:dyDescent="0.3">
      <c r="A11" s="9" t="s">
        <v>44</v>
      </c>
      <c r="B11" s="9" t="s">
        <v>45</v>
      </c>
      <c r="C11" s="55">
        <v>64.489999999999995</v>
      </c>
      <c r="D11" s="54" t="s">
        <v>96</v>
      </c>
      <c r="E11" s="54" t="s">
        <v>96</v>
      </c>
      <c r="F11" s="50" t="s">
        <v>41</v>
      </c>
      <c r="G11" s="50" t="s">
        <v>46</v>
      </c>
      <c r="H11" s="54" t="s">
        <v>96</v>
      </c>
      <c r="I11" s="54" t="s">
        <v>96</v>
      </c>
      <c r="J11" s="54" t="s">
        <v>96</v>
      </c>
      <c r="K11" s="56">
        <f>+C11/C13</f>
        <v>2.4704174312102326E-2</v>
      </c>
      <c r="L11" s="53">
        <f>+K11*(E3)</f>
        <v>617604.35780255811</v>
      </c>
    </row>
    <row r="12" spans="1:12" ht="7.2" customHeight="1" x14ac:dyDescent="0.3">
      <c r="A12" s="9"/>
      <c r="B12" s="9"/>
      <c r="C12" s="50"/>
      <c r="D12" s="54"/>
      <c r="E12" s="51"/>
      <c r="F12" s="50"/>
      <c r="G12" s="50"/>
      <c r="H12" s="9"/>
      <c r="I12" s="9"/>
      <c r="J12" s="50"/>
      <c r="K12" s="57"/>
      <c r="L12" s="58"/>
    </row>
    <row r="13" spans="1:12" x14ac:dyDescent="0.3">
      <c r="A13" s="9" t="s">
        <v>48</v>
      </c>
      <c r="B13" s="9"/>
      <c r="C13" s="50">
        <f>SUM(C9:C12)</f>
        <v>2610.4899999999998</v>
      </c>
      <c r="D13" s="54"/>
      <c r="E13" s="51"/>
      <c r="F13" s="50"/>
      <c r="G13" s="50"/>
      <c r="H13" s="9"/>
      <c r="I13" s="9"/>
      <c r="J13" s="50">
        <f>SUM(J9:J12)</f>
        <v>0</v>
      </c>
      <c r="K13" s="57">
        <f>SUM(K9:K12)</f>
        <v>1</v>
      </c>
      <c r="L13" s="53">
        <f>SUM(L9:L11)</f>
        <v>25000000.000000004</v>
      </c>
    </row>
    <row r="14" spans="1:12" ht="7.2" customHeight="1" x14ac:dyDescent="0.3">
      <c r="A14" s="41"/>
      <c r="B14" s="59"/>
      <c r="C14" s="41"/>
      <c r="D14" s="60"/>
      <c r="E14" s="41"/>
      <c r="F14" s="41"/>
      <c r="G14" s="41"/>
      <c r="H14" s="41"/>
      <c r="I14" s="41"/>
      <c r="J14" s="41"/>
      <c r="K14" s="61"/>
      <c r="L14" s="62"/>
    </row>
    <row r="15" spans="1:12" ht="7.2" customHeight="1" x14ac:dyDescent="0.3">
      <c r="D15" s="63"/>
      <c r="K15" s="64"/>
      <c r="L15" s="58"/>
    </row>
    <row r="16" spans="1:12" x14ac:dyDescent="0.3">
      <c r="A16" s="45" t="s">
        <v>57</v>
      </c>
      <c r="D16" s="63"/>
      <c r="K16" s="64"/>
      <c r="L16" s="58"/>
    </row>
    <row r="17" spans="1:12" ht="7.2" customHeight="1" x14ac:dyDescent="0.3">
      <c r="D17" s="63"/>
      <c r="K17" s="64"/>
      <c r="L17" s="58"/>
    </row>
    <row r="18" spans="1:12" x14ac:dyDescent="0.3">
      <c r="A18" s="48" t="s">
        <v>29</v>
      </c>
      <c r="B18" s="48" t="s">
        <v>30</v>
      </c>
      <c r="C18" s="48" t="s">
        <v>49</v>
      </c>
      <c r="D18" s="48" t="s">
        <v>87</v>
      </c>
      <c r="E18" s="48" t="s">
        <v>84</v>
      </c>
      <c r="F18" s="48" t="s">
        <v>32</v>
      </c>
      <c r="G18" s="48" t="s">
        <v>33</v>
      </c>
      <c r="H18" s="48" t="s">
        <v>34</v>
      </c>
      <c r="I18" s="48" t="s">
        <v>35</v>
      </c>
      <c r="J18" s="48" t="s">
        <v>36</v>
      </c>
      <c r="K18" s="81" t="s">
        <v>50</v>
      </c>
      <c r="L18" s="49" t="s">
        <v>38</v>
      </c>
    </row>
    <row r="19" spans="1:12" ht="7.2" customHeight="1" x14ac:dyDescent="0.3">
      <c r="A19" s="9"/>
      <c r="B19" s="9"/>
      <c r="C19" s="50"/>
      <c r="D19" s="54"/>
      <c r="E19" s="50"/>
      <c r="F19" s="50"/>
      <c r="G19" s="50"/>
      <c r="H19" s="9"/>
      <c r="I19" s="9"/>
      <c r="J19" s="50"/>
      <c r="K19" s="65"/>
      <c r="L19" s="58"/>
    </row>
    <row r="20" spans="1:12" x14ac:dyDescent="0.3">
      <c r="A20" s="9" t="s">
        <v>39</v>
      </c>
      <c r="B20" s="9" t="s">
        <v>40</v>
      </c>
      <c r="C20" s="50">
        <v>2546</v>
      </c>
      <c r="D20" s="34">
        <v>0.5</v>
      </c>
      <c r="E20" s="51">
        <f>+C20*D20</f>
        <v>1273</v>
      </c>
      <c r="F20" s="50" t="s">
        <v>41</v>
      </c>
      <c r="G20" s="50" t="s">
        <v>42</v>
      </c>
      <c r="H20" s="9" t="s">
        <v>43</v>
      </c>
      <c r="I20" s="66">
        <v>10</v>
      </c>
      <c r="J20" s="67">
        <f>+E20*I20</f>
        <v>12730</v>
      </c>
      <c r="K20" s="52">
        <f>+J20/J24</f>
        <v>0.92937685026665739</v>
      </c>
      <c r="L20" s="53">
        <f>+K20*E3</f>
        <v>23234421.256666433</v>
      </c>
    </row>
    <row r="21" spans="1:12" ht="7.2" customHeight="1" x14ac:dyDescent="0.3">
      <c r="A21" s="9"/>
      <c r="B21" s="9"/>
      <c r="C21" s="50"/>
      <c r="D21" s="54"/>
      <c r="E21" s="51"/>
      <c r="F21" s="50"/>
      <c r="G21" s="50"/>
      <c r="H21" s="9"/>
      <c r="I21" s="9"/>
      <c r="J21" s="50"/>
      <c r="K21" s="52"/>
      <c r="L21" s="53"/>
    </row>
    <row r="22" spans="1:12" x14ac:dyDescent="0.3">
      <c r="A22" s="9" t="s">
        <v>44</v>
      </c>
      <c r="B22" s="9" t="s">
        <v>45</v>
      </c>
      <c r="C22" s="55">
        <v>64.489999999999995</v>
      </c>
      <c r="D22" s="34">
        <v>0.75</v>
      </c>
      <c r="E22" s="51">
        <f t="shared" ref="E22" si="0">+C22*D22</f>
        <v>48.367499999999993</v>
      </c>
      <c r="F22" s="50" t="s">
        <v>41</v>
      </c>
      <c r="G22" s="50" t="s">
        <v>46</v>
      </c>
      <c r="H22" s="9" t="s">
        <v>47</v>
      </c>
      <c r="I22" s="66">
        <v>20</v>
      </c>
      <c r="J22" s="68">
        <f>+E22*I22</f>
        <v>967.34999999999991</v>
      </c>
      <c r="K22" s="56">
        <f>+J22/J24</f>
        <v>7.0623149733342577E-2</v>
      </c>
      <c r="L22" s="53">
        <f>+K22*E3</f>
        <v>1765578.7433335644</v>
      </c>
    </row>
    <row r="23" spans="1:12" ht="7.2" customHeight="1" x14ac:dyDescent="0.3">
      <c r="A23" s="9"/>
      <c r="B23" s="9"/>
      <c r="C23" s="50"/>
      <c r="D23" s="54"/>
      <c r="E23" s="51"/>
      <c r="F23" s="50"/>
      <c r="G23" s="50"/>
      <c r="H23" s="9"/>
      <c r="I23" s="9"/>
      <c r="J23" s="50"/>
      <c r="K23" s="57"/>
      <c r="L23" s="58"/>
    </row>
    <row r="24" spans="1:12" x14ac:dyDescent="0.3">
      <c r="A24" s="9" t="s">
        <v>48</v>
      </c>
      <c r="B24" s="9"/>
      <c r="C24" s="50">
        <f>SUM(C20:C23)</f>
        <v>2610.4899999999998</v>
      </c>
      <c r="D24" s="54"/>
      <c r="E24" s="51">
        <f>SUM(E20:E23)</f>
        <v>1321.3675000000001</v>
      </c>
      <c r="F24" s="50"/>
      <c r="G24" s="50"/>
      <c r="H24" s="9"/>
      <c r="I24" s="9"/>
      <c r="J24" s="50">
        <f>SUM(J20:J23)</f>
        <v>13697.35</v>
      </c>
      <c r="K24" s="57">
        <f>SUM(K20:K23)</f>
        <v>1</v>
      </c>
      <c r="L24" s="58"/>
    </row>
    <row r="25" spans="1:12" ht="7.2" customHeight="1" x14ac:dyDescent="0.3">
      <c r="A25" s="9"/>
      <c r="B25" s="9"/>
      <c r="C25" s="50"/>
      <c r="D25" s="54"/>
      <c r="E25" s="50"/>
      <c r="F25" s="50"/>
      <c r="G25" s="50"/>
      <c r="H25" s="9"/>
      <c r="I25" s="9"/>
      <c r="J25" s="50"/>
      <c r="K25" s="65"/>
      <c r="L25" s="62"/>
    </row>
    <row r="26" spans="1:12" ht="7.2" customHeight="1" x14ac:dyDescent="0.3">
      <c r="A26" s="5"/>
      <c r="B26" s="5"/>
      <c r="C26" s="69"/>
      <c r="D26" s="70"/>
      <c r="E26" s="69"/>
      <c r="F26" s="69"/>
      <c r="G26" s="69"/>
      <c r="H26" s="5"/>
      <c r="I26" s="5"/>
      <c r="J26" s="69"/>
      <c r="K26" s="71"/>
      <c r="L26" s="58"/>
    </row>
    <row r="27" spans="1:12" x14ac:dyDescent="0.3">
      <c r="A27" s="45" t="s">
        <v>51</v>
      </c>
      <c r="D27" s="63"/>
      <c r="K27" s="64"/>
      <c r="L27" s="58"/>
    </row>
    <row r="28" spans="1:12" ht="7.2" customHeight="1" x14ac:dyDescent="0.3">
      <c r="D28" s="63"/>
      <c r="K28" s="64"/>
      <c r="L28" s="58"/>
    </row>
    <row r="29" spans="1:12" x14ac:dyDescent="0.3">
      <c r="A29" s="48" t="s">
        <v>29</v>
      </c>
      <c r="B29" s="48" t="s">
        <v>30</v>
      </c>
      <c r="C29" s="48" t="s">
        <v>49</v>
      </c>
      <c r="D29" s="48" t="s">
        <v>87</v>
      </c>
      <c r="E29" s="48" t="s">
        <v>84</v>
      </c>
      <c r="F29" s="48" t="s">
        <v>32</v>
      </c>
      <c r="G29" s="48" t="s">
        <v>33</v>
      </c>
      <c r="H29" s="48" t="s">
        <v>34</v>
      </c>
      <c r="I29" s="48" t="s">
        <v>35</v>
      </c>
      <c r="J29" s="48" t="s">
        <v>50</v>
      </c>
      <c r="K29" s="81" t="s">
        <v>52</v>
      </c>
      <c r="L29" s="49" t="s">
        <v>38</v>
      </c>
    </row>
    <row r="30" spans="1:12" ht="7.2" customHeight="1" x14ac:dyDescent="0.3">
      <c r="A30" s="9"/>
      <c r="B30" s="9"/>
      <c r="C30" s="50"/>
      <c r="D30" s="54"/>
      <c r="E30" s="50"/>
      <c r="F30" s="50"/>
      <c r="G30" s="50"/>
      <c r="H30" s="9"/>
      <c r="I30" s="9"/>
      <c r="J30" s="9"/>
      <c r="K30" s="65"/>
      <c r="L30" s="58"/>
    </row>
    <row r="31" spans="1:12" x14ac:dyDescent="0.3">
      <c r="A31" s="9" t="s">
        <v>39</v>
      </c>
      <c r="B31" s="9" t="s">
        <v>40</v>
      </c>
      <c r="C31" s="50">
        <v>2546</v>
      </c>
      <c r="D31" s="54" t="str">
        <f>+D9</f>
        <v>not considered</v>
      </c>
      <c r="E31" s="54" t="str">
        <f>+E9</f>
        <v>not considered</v>
      </c>
      <c r="F31" s="50" t="s">
        <v>41</v>
      </c>
      <c r="G31" s="50" t="s">
        <v>42</v>
      </c>
      <c r="H31" s="54" t="s">
        <v>96</v>
      </c>
      <c r="I31" s="54" t="s">
        <v>96</v>
      </c>
      <c r="J31" s="54" t="s">
        <v>96</v>
      </c>
      <c r="K31" s="52">
        <v>1</v>
      </c>
      <c r="L31" s="53">
        <f>+K31*E3</f>
        <v>25000000</v>
      </c>
    </row>
    <row r="32" spans="1:12" ht="7.2" customHeight="1" x14ac:dyDescent="0.3">
      <c r="A32" s="9"/>
      <c r="B32" s="9"/>
      <c r="C32" s="50"/>
      <c r="D32" s="54"/>
      <c r="E32" s="51"/>
      <c r="F32" s="50"/>
      <c r="G32" s="50"/>
      <c r="H32" s="9"/>
      <c r="I32" s="9"/>
      <c r="J32" s="50"/>
      <c r="K32" s="52"/>
      <c r="L32" s="53"/>
    </row>
    <row r="33" spans="1:12" x14ac:dyDescent="0.3">
      <c r="A33" s="9" t="s">
        <v>44</v>
      </c>
      <c r="B33" s="9" t="s">
        <v>45</v>
      </c>
      <c r="C33" s="55">
        <v>64.489999999999995</v>
      </c>
      <c r="D33" s="54" t="str">
        <f>+D11</f>
        <v>not considered</v>
      </c>
      <c r="E33" s="54" t="str">
        <f>+E11</f>
        <v>not considered</v>
      </c>
      <c r="F33" s="50" t="s">
        <v>41</v>
      </c>
      <c r="G33" s="50" t="s">
        <v>46</v>
      </c>
      <c r="H33" s="54" t="s">
        <v>96</v>
      </c>
      <c r="I33" s="54" t="s">
        <v>96</v>
      </c>
      <c r="J33" s="54" t="s">
        <v>96</v>
      </c>
      <c r="K33" s="56">
        <v>0</v>
      </c>
      <c r="L33" s="53">
        <f>+K33*E3</f>
        <v>0</v>
      </c>
    </row>
    <row r="34" spans="1:12" ht="7.2" customHeight="1" x14ac:dyDescent="0.3">
      <c r="A34" s="9"/>
      <c r="B34" s="9"/>
      <c r="C34" s="50"/>
      <c r="D34" s="54"/>
      <c r="E34" s="51"/>
      <c r="F34" s="50"/>
      <c r="G34" s="50"/>
      <c r="H34" s="9"/>
      <c r="I34" s="9"/>
      <c r="J34" s="72"/>
      <c r="K34" s="52"/>
      <c r="L34" s="58"/>
    </row>
    <row r="35" spans="1:12" x14ac:dyDescent="0.3">
      <c r="A35" s="9" t="s">
        <v>48</v>
      </c>
      <c r="B35" s="9"/>
      <c r="C35" s="50">
        <f>SUM(C31:C34)</f>
        <v>2610.4899999999998</v>
      </c>
      <c r="D35" s="54"/>
      <c r="E35" s="51"/>
      <c r="F35" s="50"/>
      <c r="G35" s="50"/>
      <c r="H35" s="9"/>
      <c r="I35" s="9"/>
      <c r="J35" s="72"/>
      <c r="K35" s="52">
        <f>SUM(K31:K33)</f>
        <v>1</v>
      </c>
      <c r="L35" s="58"/>
    </row>
    <row r="36" spans="1:12" ht="7.2" customHeight="1" x14ac:dyDescent="0.3">
      <c r="A36" s="1"/>
      <c r="B36" s="1"/>
      <c r="C36" s="73"/>
      <c r="D36" s="74"/>
      <c r="E36" s="73"/>
      <c r="F36" s="73"/>
      <c r="G36" s="73"/>
      <c r="H36" s="1"/>
      <c r="I36" s="1"/>
      <c r="J36" s="75"/>
      <c r="K36" s="76"/>
      <c r="L36" s="62"/>
    </row>
    <row r="37" spans="1:12" ht="7.2" customHeight="1" x14ac:dyDescent="0.3">
      <c r="A37" s="9"/>
      <c r="B37" s="9"/>
      <c r="C37" s="50"/>
      <c r="D37" s="54"/>
      <c r="E37" s="50"/>
      <c r="F37" s="50"/>
      <c r="G37" s="50"/>
      <c r="H37" s="9"/>
      <c r="I37" s="9"/>
      <c r="J37" s="54"/>
      <c r="K37" s="57"/>
      <c r="L37" s="58"/>
    </row>
    <row r="38" spans="1:12" x14ac:dyDescent="0.3">
      <c r="A38" s="45" t="s">
        <v>58</v>
      </c>
      <c r="D38" s="63"/>
      <c r="K38" s="64"/>
      <c r="L38" s="58"/>
    </row>
    <row r="39" spans="1:12" ht="7.2" customHeight="1" x14ac:dyDescent="0.3">
      <c r="D39" s="63"/>
      <c r="K39" s="64"/>
      <c r="L39" s="58"/>
    </row>
    <row r="40" spans="1:12" x14ac:dyDescent="0.3">
      <c r="A40" s="48" t="s">
        <v>29</v>
      </c>
      <c r="B40" s="48" t="s">
        <v>30</v>
      </c>
      <c r="C40" s="48" t="s">
        <v>49</v>
      </c>
      <c r="D40" s="48" t="s">
        <v>87</v>
      </c>
      <c r="E40" s="48" t="s">
        <v>84</v>
      </c>
      <c r="F40" s="48" t="s">
        <v>32</v>
      </c>
      <c r="G40" s="48" t="s">
        <v>33</v>
      </c>
      <c r="H40" s="48" t="s">
        <v>34</v>
      </c>
      <c r="I40" s="48" t="s">
        <v>35</v>
      </c>
      <c r="J40" s="48" t="str">
        <f>+J29</f>
        <v>Skiers %</v>
      </c>
      <c r="K40" s="81" t="s">
        <v>52</v>
      </c>
      <c r="L40" s="49" t="s">
        <v>38</v>
      </c>
    </row>
    <row r="41" spans="1:12" ht="7.2" customHeight="1" x14ac:dyDescent="0.3">
      <c r="A41" s="9"/>
      <c r="B41" s="9"/>
      <c r="C41" s="50"/>
      <c r="D41" s="54"/>
      <c r="E41" s="50"/>
      <c r="F41" s="50"/>
      <c r="G41" s="50"/>
      <c r="H41" s="9"/>
      <c r="I41" s="9"/>
      <c r="J41" s="9"/>
      <c r="K41" s="65"/>
      <c r="L41" s="58"/>
    </row>
    <row r="42" spans="1:12" x14ac:dyDescent="0.3">
      <c r="A42" s="9" t="s">
        <v>39</v>
      </c>
      <c r="B42" s="9" t="s">
        <v>40</v>
      </c>
      <c r="C42" s="50">
        <v>2546</v>
      </c>
      <c r="D42" s="34">
        <v>0.5</v>
      </c>
      <c r="E42" s="51">
        <f>+C42*D42</f>
        <v>1273</v>
      </c>
      <c r="F42" s="50" t="s">
        <v>41</v>
      </c>
      <c r="G42" s="50" t="s">
        <v>42</v>
      </c>
      <c r="H42" s="9" t="s">
        <v>43</v>
      </c>
      <c r="I42" s="66">
        <v>10</v>
      </c>
      <c r="J42" s="67">
        <f>+E42*I42</f>
        <v>12730</v>
      </c>
      <c r="K42" s="52">
        <f>+K20</f>
        <v>0.92937685026665739</v>
      </c>
      <c r="L42" s="53">
        <f>+K42*E3</f>
        <v>23234421.256666433</v>
      </c>
    </row>
    <row r="43" spans="1:12" ht="7.2" customHeight="1" x14ac:dyDescent="0.3">
      <c r="A43" s="9"/>
      <c r="B43" s="9"/>
      <c r="C43" s="50"/>
      <c r="D43" s="54"/>
      <c r="E43" s="51"/>
      <c r="F43" s="50"/>
      <c r="G43" s="50"/>
      <c r="H43" s="9"/>
      <c r="I43" s="9"/>
      <c r="J43" s="50"/>
      <c r="K43" s="52"/>
      <c r="L43" s="53"/>
    </row>
    <row r="44" spans="1:12" x14ac:dyDescent="0.3">
      <c r="A44" s="9" t="s">
        <v>44</v>
      </c>
      <c r="B44" s="9" t="s">
        <v>45</v>
      </c>
      <c r="C44" s="55">
        <v>64.489999999999995</v>
      </c>
      <c r="D44" s="34">
        <v>0.75</v>
      </c>
      <c r="E44" s="51">
        <f>+C44*D44</f>
        <v>48.367499999999993</v>
      </c>
      <c r="F44" s="50" t="s">
        <v>41</v>
      </c>
      <c r="G44" s="50" t="s">
        <v>46</v>
      </c>
      <c r="H44" s="9" t="s">
        <v>47</v>
      </c>
      <c r="I44" s="66">
        <v>20</v>
      </c>
      <c r="J44" s="68">
        <f>+E44*I44</f>
        <v>967.34999999999991</v>
      </c>
      <c r="K44" s="56">
        <f>+K22</f>
        <v>7.0623149733342577E-2</v>
      </c>
      <c r="L44" s="53">
        <f>+K44*E3</f>
        <v>1765578.7433335644</v>
      </c>
    </row>
    <row r="45" spans="1:12" ht="7.2" customHeight="1" x14ac:dyDescent="0.3">
      <c r="A45" s="9"/>
      <c r="B45" s="9"/>
      <c r="C45" s="50"/>
      <c r="D45" s="54"/>
      <c r="E45" s="51"/>
      <c r="F45" s="50"/>
      <c r="G45" s="50"/>
      <c r="H45" s="9"/>
      <c r="I45" s="9"/>
      <c r="J45" s="50"/>
      <c r="K45" s="72"/>
      <c r="L45" s="58"/>
    </row>
    <row r="46" spans="1:12" x14ac:dyDescent="0.3">
      <c r="A46" s="9" t="s">
        <v>48</v>
      </c>
      <c r="B46" s="9"/>
      <c r="C46" s="50">
        <f>SUM(C42:C45)</f>
        <v>2610.4899999999998</v>
      </c>
      <c r="D46" s="54"/>
      <c r="E46" s="51">
        <f>SUM(E42:E45)</f>
        <v>1321.3675000000001</v>
      </c>
      <c r="F46" s="50"/>
      <c r="G46" s="50"/>
      <c r="H46" s="9"/>
      <c r="I46" s="9"/>
      <c r="J46" s="50">
        <f>SUM(J42:J45)</f>
        <v>13697.35</v>
      </c>
      <c r="K46" s="72">
        <f>SUM(K42:K45)</f>
        <v>1</v>
      </c>
      <c r="L46" s="83">
        <f>SUM(L42:L44)</f>
        <v>24999999.999999996</v>
      </c>
    </row>
    <row r="47" spans="1:12" ht="7.2" customHeight="1" x14ac:dyDescent="0.3">
      <c r="A47" s="1"/>
      <c r="B47" s="1"/>
      <c r="C47" s="1"/>
      <c r="D47" s="1"/>
      <c r="E47" s="73"/>
      <c r="F47" s="73"/>
      <c r="G47" s="73"/>
      <c r="H47" s="1"/>
      <c r="I47" s="1"/>
      <c r="J47" s="74"/>
      <c r="K47" s="74"/>
      <c r="L47" s="62"/>
    </row>
    <row r="48" spans="1:12" ht="7.2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77"/>
    </row>
    <row r="49" spans="1:12" x14ac:dyDescent="0.3">
      <c r="A49" s="45" t="s">
        <v>1</v>
      </c>
      <c r="L49" s="10"/>
    </row>
    <row r="50" spans="1:12" ht="7.2" customHeight="1" x14ac:dyDescent="0.3">
      <c r="A50" s="45"/>
      <c r="L50" s="10"/>
    </row>
    <row r="51" spans="1:12" x14ac:dyDescent="0.3">
      <c r="A51" t="s">
        <v>53</v>
      </c>
      <c r="L51" s="10"/>
    </row>
    <row r="52" spans="1:12" ht="7.2" customHeight="1" x14ac:dyDescent="0.3">
      <c r="L52" s="10"/>
    </row>
    <row r="53" spans="1:12" x14ac:dyDescent="0.3">
      <c r="A53" s="78" t="s">
        <v>54</v>
      </c>
      <c r="L53" s="10"/>
    </row>
    <row r="54" spans="1:12" ht="7.2" customHeight="1" x14ac:dyDescent="0.3">
      <c r="L54" s="10"/>
    </row>
    <row r="55" spans="1:12" x14ac:dyDescent="0.3">
      <c r="L55" s="10"/>
    </row>
    <row r="56" spans="1:12" x14ac:dyDescent="0.3">
      <c r="L56" s="10"/>
    </row>
    <row r="57" spans="1:12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17"/>
    </row>
  </sheetData>
  <printOptions gridLines="1"/>
  <pageMargins left="1" right="0.7" top="1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06D2-E967-4788-B909-7E0D4AA67A20}">
  <sheetPr codeName="Sheet1">
    <pageSetUpPr fitToPage="1"/>
  </sheetPr>
  <dimension ref="A1:P73"/>
  <sheetViews>
    <sheetView tabSelected="1" workbookViewId="0">
      <selection activeCell="D9" sqref="D9"/>
    </sheetView>
  </sheetViews>
  <sheetFormatPr defaultRowHeight="14.4" x14ac:dyDescent="0.3"/>
  <cols>
    <col min="1" max="1" width="56.77734375" customWidth="1"/>
    <col min="2" max="14" width="12.6640625" customWidth="1"/>
    <col min="15" max="15" width="28.6640625" customWidth="1"/>
  </cols>
  <sheetData>
    <row r="1" spans="1:15" x14ac:dyDescent="0.3">
      <c r="A1" s="4" t="s">
        <v>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6" customHeight="1" x14ac:dyDescent="0.3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5" ht="15" customHeight="1" x14ac:dyDescent="0.3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ht="6" customHeight="1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ht="15" customHeight="1" x14ac:dyDescent="0.3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0"/>
    </row>
    <row r="6" spans="1:15" ht="6" customHeigh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0"/>
    </row>
    <row r="7" spans="1:15" ht="15" customHeight="1" x14ac:dyDescent="0.3">
      <c r="A7" s="13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</row>
    <row r="8" spans="1:15" ht="6" customHeight="1" x14ac:dyDescent="0.3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0"/>
    </row>
    <row r="9" spans="1:15" ht="15" customHeight="1" x14ac:dyDescent="0.3">
      <c r="A9" s="11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0"/>
    </row>
    <row r="10" spans="1:15" ht="6" customHeight="1" x14ac:dyDescent="0.3">
      <c r="A10" s="1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0"/>
    </row>
    <row r="11" spans="1:15" ht="15" customHeight="1" x14ac:dyDescent="0.3">
      <c r="A11" s="13" t="s">
        <v>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0"/>
    </row>
    <row r="12" spans="1:15" ht="6" customHeight="1" x14ac:dyDescent="0.3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ht="15" customHeight="1" x14ac:dyDescent="0.3">
      <c r="A13" s="13" t="s">
        <v>24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ht="6" customHeight="1" x14ac:dyDescent="0.3">
      <c r="A14" s="1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ht="15" customHeight="1" x14ac:dyDescent="0.3">
      <c r="A15" s="13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35"/>
    </row>
    <row r="16" spans="1:15" ht="6" customHeight="1" x14ac:dyDescent="0.3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ht="15" customHeight="1" x14ac:dyDescent="0.3">
      <c r="A17" s="13" t="s">
        <v>25</v>
      </c>
      <c r="B17" s="9"/>
      <c r="C17" s="9"/>
      <c r="D17" s="9"/>
      <c r="E17" s="9"/>
      <c r="F17" s="9"/>
      <c r="G17" s="34">
        <v>0.1</v>
      </c>
      <c r="H17" s="9"/>
      <c r="I17" s="9"/>
      <c r="J17" s="9"/>
      <c r="K17" s="9"/>
      <c r="L17" s="9"/>
      <c r="M17" s="9"/>
      <c r="N17" s="9"/>
      <c r="O17" s="10"/>
    </row>
    <row r="18" spans="1:15" ht="6" customHeight="1" x14ac:dyDescent="0.3">
      <c r="A18" s="1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ht="15" customHeight="1" x14ac:dyDescent="0.3">
      <c r="A19" s="13" t="s">
        <v>26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ht="6" customHeight="1" x14ac:dyDescent="0.3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ht="15" customHeight="1" x14ac:dyDescent="0.3">
      <c r="A21" s="13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ht="6" customHeight="1" x14ac:dyDescent="0.3">
      <c r="A22" s="1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ht="15" customHeight="1" x14ac:dyDescent="0.3">
      <c r="A23" s="13" t="s">
        <v>89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ht="6" customHeight="1" x14ac:dyDescent="0.3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7"/>
    </row>
    <row r="25" spans="1:15" ht="6" customHeight="1" x14ac:dyDescent="0.3">
      <c r="A25" s="1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3">
      <c r="A26" s="18" t="s">
        <v>0</v>
      </c>
      <c r="B26" s="19">
        <v>41423</v>
      </c>
      <c r="C26" s="19">
        <v>41788</v>
      </c>
      <c r="D26" s="19">
        <v>42153</v>
      </c>
      <c r="E26" s="19">
        <v>42519</v>
      </c>
      <c r="F26" s="19">
        <v>42884</v>
      </c>
      <c r="G26" s="19">
        <v>43249</v>
      </c>
      <c r="H26" s="19">
        <v>43614</v>
      </c>
      <c r="I26" s="19">
        <v>43980</v>
      </c>
      <c r="J26" s="19">
        <v>44345</v>
      </c>
      <c r="K26" s="19">
        <v>44710</v>
      </c>
      <c r="L26" s="19">
        <v>45075</v>
      </c>
      <c r="M26" s="19">
        <v>45441</v>
      </c>
      <c r="N26" s="19">
        <v>45806</v>
      </c>
      <c r="O26" s="36" t="s">
        <v>3</v>
      </c>
    </row>
    <row r="27" spans="1:15" ht="6" customHeight="1" x14ac:dyDescent="0.3">
      <c r="A27" s="20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ht="15" customHeight="1" x14ac:dyDescent="0.3">
      <c r="A28" s="21" t="s">
        <v>80</v>
      </c>
      <c r="B28" s="22">
        <v>25000000</v>
      </c>
      <c r="C28" s="22">
        <f>+B28*1.02</f>
        <v>25500000</v>
      </c>
      <c r="D28" s="22">
        <f>+C28*1.02</f>
        <v>26010000</v>
      </c>
      <c r="E28" s="22">
        <f>+D28*1.02</f>
        <v>26530200</v>
      </c>
      <c r="F28" s="22">
        <f t="shared" ref="F28:N28" si="0">+E28*1.02</f>
        <v>27060804</v>
      </c>
      <c r="G28" s="22">
        <f t="shared" si="0"/>
        <v>27602020.080000002</v>
      </c>
      <c r="H28" s="22">
        <f t="shared" si="0"/>
        <v>28154060.481600001</v>
      </c>
      <c r="I28" s="22">
        <f t="shared" si="0"/>
        <v>28717141.691232003</v>
      </c>
      <c r="J28" s="22">
        <f t="shared" si="0"/>
        <v>29291484.525056645</v>
      </c>
      <c r="K28" s="22">
        <f>+J28*1.02</f>
        <v>29877314.21555778</v>
      </c>
      <c r="L28" s="22">
        <f t="shared" si="0"/>
        <v>30474860.499868937</v>
      </c>
      <c r="M28" s="22">
        <f t="shared" si="0"/>
        <v>31084357.709866315</v>
      </c>
      <c r="N28" s="22">
        <f t="shared" si="0"/>
        <v>31706044.864063643</v>
      </c>
      <c r="O28" s="35" t="s">
        <v>12</v>
      </c>
    </row>
    <row r="29" spans="1:15" ht="6" customHeight="1" x14ac:dyDescent="0.3">
      <c r="A29" s="20" t="s">
        <v>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35"/>
    </row>
    <row r="30" spans="1:15" x14ac:dyDescent="0.3">
      <c r="A30" s="11" t="s">
        <v>91</v>
      </c>
      <c r="B30" s="24">
        <v>1766579</v>
      </c>
      <c r="C30" s="24">
        <f>+B30+B30*(G17)</f>
        <v>1943236.9</v>
      </c>
      <c r="D30" s="24">
        <f>+C30+C30*(G17)</f>
        <v>2137560.59</v>
      </c>
      <c r="E30" s="24">
        <f>+D30+D30*(G17)</f>
        <v>2351316.6489999997</v>
      </c>
      <c r="F30" s="24">
        <f>+E30+E30*(G17)</f>
        <v>2586448.3138999995</v>
      </c>
      <c r="G30" s="24">
        <f>+F30+F30*(G17)</f>
        <v>2845093.1452899994</v>
      </c>
      <c r="H30" s="24">
        <f>+G30+G30*(G17)</f>
        <v>3129602.4598189993</v>
      </c>
      <c r="I30" s="24">
        <f>+H30+H30*(G17)</f>
        <v>3442562.7058008993</v>
      </c>
      <c r="J30" s="24">
        <f>+I30+I30*(G17)</f>
        <v>3786818.9763809894</v>
      </c>
      <c r="K30" s="24">
        <f>+J30+J30*(G17)</f>
        <v>4165500.8740190882</v>
      </c>
      <c r="L30" s="24">
        <f>+K30+K30*(G17)</f>
        <v>4582050.961420997</v>
      </c>
      <c r="M30" s="24">
        <f>+L30+L30*(G17)</f>
        <v>5040256.0575630963</v>
      </c>
      <c r="N30" s="24">
        <f>+M30+M30*(G17)</f>
        <v>5544281.6633194061</v>
      </c>
      <c r="O30" s="39" t="s">
        <v>27</v>
      </c>
    </row>
    <row r="31" spans="1:15" ht="6" customHeight="1" x14ac:dyDescent="0.3">
      <c r="A31" s="20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38"/>
    </row>
    <row r="32" spans="1:15" ht="15" customHeight="1" x14ac:dyDescent="0.3">
      <c r="A32" s="32" t="s">
        <v>21</v>
      </c>
      <c r="B32" s="33">
        <v>20000000</v>
      </c>
      <c r="C32" s="33">
        <f>+B32+(B32*(G17))</f>
        <v>22000000</v>
      </c>
      <c r="D32" s="33">
        <f>+C32+(C32*G17)</f>
        <v>24200000</v>
      </c>
      <c r="E32" s="33">
        <f>+D32+D32*G17</f>
        <v>26620000</v>
      </c>
      <c r="F32" s="33">
        <f>+E32+(E32*G17)</f>
        <v>29282000</v>
      </c>
      <c r="G32" s="33">
        <f>+F32+(F32*G17)</f>
        <v>32210200</v>
      </c>
      <c r="H32" s="33">
        <f>+G32+(G32*G17)</f>
        <v>35431220</v>
      </c>
      <c r="I32" s="33">
        <f>+H32+(H32*G17)</f>
        <v>38974342</v>
      </c>
      <c r="J32" s="33">
        <f>+I32+(I32*G17)</f>
        <v>42871776.200000003</v>
      </c>
      <c r="K32" s="33">
        <f>+J32+(J32*G17)</f>
        <v>47158953.82</v>
      </c>
      <c r="L32" s="33">
        <f>+K32+(K32*G17)</f>
        <v>51874849.202</v>
      </c>
      <c r="M32" s="33">
        <f>+L32+(L32*G17)</f>
        <v>57062334.122199997</v>
      </c>
      <c r="N32" s="33">
        <f>+M32+(M32*G17)</f>
        <v>62768567.534419999</v>
      </c>
      <c r="O32" s="39" t="s">
        <v>27</v>
      </c>
    </row>
    <row r="33" spans="1:16" ht="6" customHeight="1" x14ac:dyDescent="0.3">
      <c r="A33" s="20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38"/>
    </row>
    <row r="34" spans="1:16" ht="15" customHeight="1" x14ac:dyDescent="0.3">
      <c r="A34" s="20" t="s">
        <v>19</v>
      </c>
      <c r="B34" s="23" t="s">
        <v>14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f>+(H32-35000000)*0.42</f>
        <v>181112.4</v>
      </c>
      <c r="I34" s="23">
        <f>+(I32-35000000)*0.42</f>
        <v>1669223.64</v>
      </c>
      <c r="J34" s="23">
        <f t="shared" ref="J34:N34" si="1">+(J32-35000000)*0.42</f>
        <v>3306146.0040000011</v>
      </c>
      <c r="K34" s="23">
        <f t="shared" si="1"/>
        <v>5106760.6043999996</v>
      </c>
      <c r="L34" s="23">
        <f t="shared" si="1"/>
        <v>7087436.6648399998</v>
      </c>
      <c r="M34" s="23">
        <f t="shared" si="1"/>
        <v>9266180.331323998</v>
      </c>
      <c r="N34" s="23">
        <f t="shared" si="1"/>
        <v>11662798.364456398</v>
      </c>
      <c r="O34" s="38" t="s">
        <v>11</v>
      </c>
    </row>
    <row r="35" spans="1:16" ht="6" customHeight="1" x14ac:dyDescent="0.3">
      <c r="A35" s="20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38"/>
    </row>
    <row r="36" spans="1:16" ht="15" customHeight="1" x14ac:dyDescent="0.3">
      <c r="A36" s="20" t="s">
        <v>20</v>
      </c>
      <c r="B36" s="23" t="s">
        <v>14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38" t="s">
        <v>11</v>
      </c>
    </row>
    <row r="37" spans="1:16" ht="6" customHeight="1" x14ac:dyDescent="0.3">
      <c r="A37" s="20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38"/>
    </row>
    <row r="38" spans="1:16" x14ac:dyDescent="0.3">
      <c r="A38" s="11" t="s">
        <v>17</v>
      </c>
      <c r="B38" s="24">
        <v>0</v>
      </c>
      <c r="C38" s="24">
        <f>+C30+C34+C36</f>
        <v>1943236.9</v>
      </c>
      <c r="D38" s="24">
        <f>+D30+D34+D36</f>
        <v>2137560.59</v>
      </c>
      <c r="E38" s="24">
        <f>+E30+E34+E36</f>
        <v>2351316.6489999997</v>
      </c>
      <c r="F38" s="24">
        <f>+F30+F34+F36</f>
        <v>2586448.3138999995</v>
      </c>
      <c r="G38" s="24">
        <f>+G30+G34+G36</f>
        <v>2845093.1452899994</v>
      </c>
      <c r="H38" s="24">
        <f t="shared" ref="H38:N38" si="2">+H30+H34+H36</f>
        <v>3310714.8598189992</v>
      </c>
      <c r="I38" s="24">
        <f t="shared" si="2"/>
        <v>5111786.345800899</v>
      </c>
      <c r="J38" s="24">
        <f t="shared" si="2"/>
        <v>7092964.9803809905</v>
      </c>
      <c r="K38" s="24">
        <f t="shared" si="2"/>
        <v>9272261.4784190878</v>
      </c>
      <c r="L38" s="24">
        <f t="shared" si="2"/>
        <v>11669487.626260996</v>
      </c>
      <c r="M38" s="24">
        <f t="shared" si="2"/>
        <v>14306436.388887094</v>
      </c>
      <c r="N38" s="24">
        <f t="shared" si="2"/>
        <v>17207080.027775805</v>
      </c>
      <c r="O38" s="39" t="s">
        <v>27</v>
      </c>
    </row>
    <row r="39" spans="1:16" ht="6" customHeight="1" x14ac:dyDescent="0.3">
      <c r="A39" s="2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38"/>
    </row>
    <row r="40" spans="1:16" x14ac:dyDescent="0.3">
      <c r="A40" s="25" t="s">
        <v>18</v>
      </c>
      <c r="B40" s="26">
        <v>0.1</v>
      </c>
      <c r="C40" s="26">
        <v>0.1</v>
      </c>
      <c r="D40" s="26">
        <v>0.1</v>
      </c>
      <c r="E40" s="26">
        <v>0.1</v>
      </c>
      <c r="F40" s="26">
        <v>0.1</v>
      </c>
      <c r="G40" s="26">
        <v>0.1</v>
      </c>
      <c r="H40" s="26">
        <v>0.1</v>
      </c>
      <c r="I40" s="26">
        <v>0.1</v>
      </c>
      <c r="J40" s="26">
        <v>0.1</v>
      </c>
      <c r="K40" s="26">
        <v>0.1</v>
      </c>
      <c r="L40" s="26">
        <v>0.1</v>
      </c>
      <c r="M40" s="26">
        <v>0.1</v>
      </c>
      <c r="N40" s="26">
        <v>0.1</v>
      </c>
      <c r="O40" s="39" t="s">
        <v>10</v>
      </c>
      <c r="P40" s="2"/>
    </row>
    <row r="41" spans="1:16" ht="6" customHeight="1" x14ac:dyDescent="0.3">
      <c r="A41" s="2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9"/>
      <c r="P41" s="2"/>
    </row>
    <row r="42" spans="1:16" x14ac:dyDescent="0.3">
      <c r="A42" s="11" t="s">
        <v>9</v>
      </c>
      <c r="B42" s="27">
        <v>0</v>
      </c>
      <c r="C42" s="28">
        <f>+B30*1.1</f>
        <v>1943236.9000000001</v>
      </c>
      <c r="D42" s="28">
        <f>+C44*1.1</f>
        <v>4275121.18</v>
      </c>
      <c r="E42" s="28">
        <f t="shared" ref="E42:N42" si="3">+D44*1.1</f>
        <v>7053949.9469999997</v>
      </c>
      <c r="F42" s="28">
        <f t="shared" si="3"/>
        <v>10345793.2556</v>
      </c>
      <c r="G42" s="28">
        <f t="shared" si="3"/>
        <v>14225465.72645</v>
      </c>
      <c r="H42" s="28">
        <f t="shared" si="3"/>
        <v>18777614.758914001</v>
      </c>
      <c r="I42" s="28">
        <f t="shared" si="3"/>
        <v>24297162.5806063</v>
      </c>
      <c r="J42" s="28">
        <f t="shared" si="3"/>
        <v>32349843.81904792</v>
      </c>
      <c r="K42" s="28">
        <f t="shared" si="3"/>
        <v>43387089.679371804</v>
      </c>
      <c r="L42" s="28">
        <f t="shared" si="3"/>
        <v>57925286.273569986</v>
      </c>
      <c r="M42" s="28">
        <f t="shared" si="3"/>
        <v>76554251.289814085</v>
      </c>
      <c r="N42" s="28">
        <f t="shared" si="3"/>
        <v>99946756.446571305</v>
      </c>
      <c r="O42" s="39" t="s">
        <v>27</v>
      </c>
      <c r="P42" s="2"/>
    </row>
    <row r="43" spans="1:16" ht="6" customHeight="1" x14ac:dyDescent="0.3">
      <c r="A43" s="20"/>
      <c r="B43" s="3"/>
      <c r="C43" s="3"/>
      <c r="D43" s="3"/>
      <c r="E43" s="3"/>
      <c r="F43" s="3"/>
      <c r="G43" s="3"/>
      <c r="H43" s="3"/>
      <c r="I43" s="2"/>
      <c r="J43" s="2"/>
      <c r="K43" s="2"/>
      <c r="L43" s="2"/>
      <c r="M43" s="2"/>
      <c r="N43" s="2"/>
      <c r="O43" s="39"/>
      <c r="P43" s="2"/>
    </row>
    <row r="44" spans="1:16" x14ac:dyDescent="0.3">
      <c r="A44" s="43" t="s">
        <v>28</v>
      </c>
      <c r="B44" s="44">
        <v>0</v>
      </c>
      <c r="C44" s="44">
        <f>+C38+C42</f>
        <v>3886473.8</v>
      </c>
      <c r="D44" s="44">
        <f t="shared" ref="D44:K44" si="4">+D38+D42</f>
        <v>6412681.7699999996</v>
      </c>
      <c r="E44" s="44">
        <f t="shared" si="4"/>
        <v>9405266.595999999</v>
      </c>
      <c r="F44" s="44">
        <f t="shared" si="4"/>
        <v>12932241.569499999</v>
      </c>
      <c r="G44" s="44">
        <f t="shared" si="4"/>
        <v>17070558.871739998</v>
      </c>
      <c r="H44" s="44">
        <f t="shared" si="4"/>
        <v>22088329.618733</v>
      </c>
      <c r="I44" s="44">
        <f t="shared" si="4"/>
        <v>29408948.926407199</v>
      </c>
      <c r="J44" s="44">
        <f t="shared" si="4"/>
        <v>39442808.79942891</v>
      </c>
      <c r="K44" s="44">
        <f t="shared" si="4"/>
        <v>52659351.157790892</v>
      </c>
      <c r="L44" s="44">
        <f>+L38+L42</f>
        <v>69594773.899830982</v>
      </c>
      <c r="M44" s="44">
        <f>+M38+M42</f>
        <v>90860687.678701177</v>
      </c>
      <c r="N44" s="44">
        <f>+N38+N42</f>
        <v>117153836.47434711</v>
      </c>
      <c r="O44" s="39" t="s">
        <v>27</v>
      </c>
      <c r="P44" s="2"/>
    </row>
    <row r="45" spans="1:16" ht="6" customHeight="1" x14ac:dyDescent="0.3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40"/>
      <c r="P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2"/>
    </row>
    <row r="48" spans="1:1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2"/>
    </row>
    <row r="49" spans="1:1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2"/>
    </row>
    <row r="50" spans="1:1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2"/>
    </row>
    <row r="51" spans="1:16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2"/>
    </row>
    <row r="52" spans="1:1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</sheetData>
  <printOptions horizontalCentered="1" gridLines="1"/>
  <pageMargins left="0.95" right="0.95" top="1.25" bottom="0.75" header="0.3" footer="0.3"/>
  <pageSetup paperSize="3" scale="7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01E5-3B30-4236-85A0-81FFBBEDE90D}">
  <sheetPr>
    <pageSetUpPr fitToPage="1"/>
  </sheetPr>
  <dimension ref="A1:L58"/>
  <sheetViews>
    <sheetView topLeftCell="A11" workbookViewId="0">
      <selection activeCell="E35" sqref="E35"/>
    </sheetView>
  </sheetViews>
  <sheetFormatPr defaultRowHeight="14.4" x14ac:dyDescent="0.3"/>
  <cols>
    <col min="1" max="1" width="16.77734375" customWidth="1"/>
    <col min="2" max="2" width="18.77734375" customWidth="1"/>
    <col min="3" max="6" width="14.77734375" customWidth="1"/>
    <col min="7" max="8" width="18.77734375" customWidth="1"/>
    <col min="9" max="12" width="14.77734375" customWidth="1"/>
  </cols>
  <sheetData>
    <row r="1" spans="1:12" x14ac:dyDescent="0.3">
      <c r="A1" s="45" t="s">
        <v>93</v>
      </c>
      <c r="L1" s="10"/>
    </row>
    <row r="2" spans="1:12" x14ac:dyDescent="0.3">
      <c r="A2" s="45"/>
      <c r="L2" s="10"/>
    </row>
    <row r="3" spans="1:12" x14ac:dyDescent="0.3">
      <c r="A3" s="45" t="s">
        <v>59</v>
      </c>
      <c r="E3" s="46">
        <v>15000000</v>
      </c>
      <c r="L3" s="10"/>
    </row>
    <row r="4" spans="1:12" ht="7.2" customHeight="1" x14ac:dyDescent="0.3">
      <c r="A4" s="45"/>
      <c r="F4" s="47"/>
      <c r="L4" s="10"/>
    </row>
    <row r="5" spans="1:12" x14ac:dyDescent="0.3">
      <c r="A5" s="45" t="s">
        <v>56</v>
      </c>
      <c r="L5" s="10"/>
    </row>
    <row r="6" spans="1:12" ht="7.2" customHeight="1" x14ac:dyDescent="0.3">
      <c r="L6" s="10"/>
    </row>
    <row r="7" spans="1:12" x14ac:dyDescent="0.3">
      <c r="A7" s="48" t="s">
        <v>29</v>
      </c>
      <c r="B7" s="48" t="s">
        <v>30</v>
      </c>
      <c r="C7" s="48" t="s">
        <v>31</v>
      </c>
      <c r="D7" s="48" t="s">
        <v>87</v>
      </c>
      <c r="E7" s="48" t="s">
        <v>84</v>
      </c>
      <c r="F7" s="48" t="s">
        <v>32</v>
      </c>
      <c r="G7" s="48" t="s">
        <v>33</v>
      </c>
      <c r="H7" s="48" t="s">
        <v>34</v>
      </c>
      <c r="I7" s="48" t="s">
        <v>95</v>
      </c>
      <c r="J7" s="48" t="s">
        <v>36</v>
      </c>
      <c r="K7" s="48" t="s">
        <v>37</v>
      </c>
      <c r="L7" s="49" t="s">
        <v>38</v>
      </c>
    </row>
    <row r="8" spans="1:12" ht="7.2" customHeight="1" x14ac:dyDescent="0.3">
      <c r="A8" s="9"/>
      <c r="B8" s="9"/>
      <c r="C8" s="9"/>
      <c r="D8" s="9"/>
      <c r="E8" s="50"/>
      <c r="F8" s="50"/>
      <c r="G8" s="50"/>
      <c r="H8" s="9"/>
      <c r="I8" s="9"/>
      <c r="J8" s="50"/>
      <c r="K8" s="9"/>
      <c r="L8" s="10"/>
    </row>
    <row r="9" spans="1:12" x14ac:dyDescent="0.3">
      <c r="A9" s="9" t="s">
        <v>39</v>
      </c>
      <c r="B9" s="9" t="s">
        <v>40</v>
      </c>
      <c r="C9" s="50">
        <v>2546</v>
      </c>
      <c r="D9" s="54" t="s">
        <v>96</v>
      </c>
      <c r="E9" s="54" t="s">
        <v>96</v>
      </c>
      <c r="F9" s="54" t="s">
        <v>85</v>
      </c>
      <c r="G9" s="54" t="s">
        <v>86</v>
      </c>
      <c r="H9" s="54" t="s">
        <v>96</v>
      </c>
      <c r="I9" s="54" t="s">
        <v>96</v>
      </c>
      <c r="J9" s="54" t="s">
        <v>96</v>
      </c>
      <c r="K9" s="52">
        <f>+C9/C13</f>
        <v>0.97529582568789774</v>
      </c>
      <c r="L9" s="53">
        <f>+K9*(E3)</f>
        <v>14629437.385318466</v>
      </c>
    </row>
    <row r="10" spans="1:12" ht="7.2" customHeight="1" x14ac:dyDescent="0.3">
      <c r="A10" s="9"/>
      <c r="B10" s="9"/>
      <c r="C10" s="50"/>
      <c r="D10" s="54"/>
      <c r="E10" s="51"/>
      <c r="F10" s="50"/>
      <c r="G10" s="50"/>
      <c r="H10" s="9"/>
      <c r="I10" s="9"/>
      <c r="J10" s="50"/>
      <c r="K10" s="52"/>
      <c r="L10" s="53"/>
    </row>
    <row r="11" spans="1:12" x14ac:dyDescent="0.3">
      <c r="A11" s="9" t="s">
        <v>44</v>
      </c>
      <c r="B11" s="9" t="s">
        <v>45</v>
      </c>
      <c r="C11" s="55">
        <v>64.489999999999995</v>
      </c>
      <c r="D11" s="54" t="s">
        <v>96</v>
      </c>
      <c r="E11" s="54" t="s">
        <v>96</v>
      </c>
      <c r="F11" s="54" t="s">
        <v>85</v>
      </c>
      <c r="G11" s="54" t="s">
        <v>46</v>
      </c>
      <c r="H11" s="54" t="s">
        <v>96</v>
      </c>
      <c r="I11" s="54" t="s">
        <v>96</v>
      </c>
      <c r="J11" s="54" t="s">
        <v>96</v>
      </c>
      <c r="K11" s="56">
        <f>+C11/C13</f>
        <v>2.4704174312102326E-2</v>
      </c>
      <c r="L11" s="53">
        <f>+K11*(E3)</f>
        <v>370562.61468153488</v>
      </c>
    </row>
    <row r="12" spans="1:12" ht="7.2" customHeight="1" x14ac:dyDescent="0.3">
      <c r="A12" s="9"/>
      <c r="B12" s="9"/>
      <c r="C12" s="50"/>
      <c r="D12" s="54"/>
      <c r="E12" s="51"/>
      <c r="F12" s="50"/>
      <c r="G12" s="50"/>
      <c r="H12" s="9"/>
      <c r="I12" s="9"/>
      <c r="J12" s="50"/>
      <c r="K12" s="57"/>
      <c r="L12" s="58"/>
    </row>
    <row r="13" spans="1:12" x14ac:dyDescent="0.3">
      <c r="A13" s="9" t="s">
        <v>48</v>
      </c>
      <c r="B13" s="9"/>
      <c r="C13" s="50">
        <f>SUM(C9:C12)</f>
        <v>2610.4899999999998</v>
      </c>
      <c r="D13" s="54"/>
      <c r="E13" s="54"/>
      <c r="F13" s="50"/>
      <c r="G13" s="50"/>
      <c r="H13" s="9"/>
      <c r="I13" s="9"/>
      <c r="J13" s="50"/>
      <c r="K13" s="57">
        <f>SUM(K9:K12)</f>
        <v>1</v>
      </c>
      <c r="L13" s="53">
        <f>+L9+L11</f>
        <v>15000000</v>
      </c>
    </row>
    <row r="14" spans="1:12" ht="7.2" customHeight="1" x14ac:dyDescent="0.3">
      <c r="A14" s="41"/>
      <c r="B14" s="59"/>
      <c r="C14" s="41"/>
      <c r="D14" s="60"/>
      <c r="E14" s="41"/>
      <c r="F14" s="41"/>
      <c r="G14" s="41"/>
      <c r="H14" s="41"/>
      <c r="I14" s="41"/>
      <c r="J14" s="41"/>
      <c r="K14" s="61"/>
      <c r="L14" s="62"/>
    </row>
    <row r="15" spans="1:12" ht="7.2" customHeight="1" x14ac:dyDescent="0.3">
      <c r="D15" s="63"/>
      <c r="K15" s="64"/>
      <c r="L15" s="58"/>
    </row>
    <row r="16" spans="1:12" x14ac:dyDescent="0.3">
      <c r="A16" s="45" t="s">
        <v>57</v>
      </c>
      <c r="D16" s="63"/>
      <c r="K16" s="64"/>
      <c r="L16" s="58"/>
    </row>
    <row r="17" spans="1:12" ht="7.2" customHeight="1" x14ac:dyDescent="0.3">
      <c r="D17" s="63"/>
      <c r="K17" s="64"/>
      <c r="L17" s="58"/>
    </row>
    <row r="18" spans="1:12" x14ac:dyDescent="0.3">
      <c r="A18" s="48" t="s">
        <v>29</v>
      </c>
      <c r="B18" s="48" t="s">
        <v>30</v>
      </c>
      <c r="C18" s="48" t="s">
        <v>49</v>
      </c>
      <c r="D18" s="48" t="s">
        <v>87</v>
      </c>
      <c r="E18" s="48" t="s">
        <v>84</v>
      </c>
      <c r="F18" s="48" t="s">
        <v>32</v>
      </c>
      <c r="G18" s="48" t="s">
        <v>33</v>
      </c>
      <c r="H18" s="48" t="s">
        <v>34</v>
      </c>
      <c r="I18" s="48" t="s">
        <v>95</v>
      </c>
      <c r="J18" s="48" t="s">
        <v>36</v>
      </c>
      <c r="K18" s="81" t="s">
        <v>50</v>
      </c>
      <c r="L18" s="49" t="s">
        <v>38</v>
      </c>
    </row>
    <row r="19" spans="1:12" ht="7.2" customHeight="1" x14ac:dyDescent="0.3">
      <c r="A19" s="9"/>
      <c r="B19" s="9"/>
      <c r="C19" s="50"/>
      <c r="D19" s="54"/>
      <c r="E19" s="50"/>
      <c r="F19" s="50"/>
      <c r="G19" s="50"/>
      <c r="H19" s="9"/>
      <c r="I19" s="9"/>
      <c r="J19" s="48"/>
      <c r="K19" s="65"/>
      <c r="L19" s="58"/>
    </row>
    <row r="20" spans="1:12" x14ac:dyDescent="0.3">
      <c r="A20" s="9" t="s">
        <v>39</v>
      </c>
      <c r="B20" s="9" t="s">
        <v>40</v>
      </c>
      <c r="C20" s="50">
        <v>2546</v>
      </c>
      <c r="D20" s="34">
        <v>0.5</v>
      </c>
      <c r="E20" s="51">
        <f>+C20*D20</f>
        <v>1273</v>
      </c>
      <c r="F20" s="50" t="s">
        <v>85</v>
      </c>
      <c r="G20" s="50" t="s">
        <v>86</v>
      </c>
      <c r="H20" s="9" t="s">
        <v>43</v>
      </c>
      <c r="I20" s="66">
        <v>10</v>
      </c>
      <c r="J20" s="67">
        <f>+E20*I20</f>
        <v>12730</v>
      </c>
      <c r="K20" s="52">
        <f>+J20/J24</f>
        <v>0.92937685026665739</v>
      </c>
      <c r="L20" s="53">
        <f>+K20*E3</f>
        <v>13940652.753999861</v>
      </c>
    </row>
    <row r="21" spans="1:12" ht="7.2" customHeight="1" x14ac:dyDescent="0.3">
      <c r="A21" s="9"/>
      <c r="B21" s="9"/>
      <c r="C21" s="50"/>
      <c r="D21" s="54"/>
      <c r="E21" s="51"/>
      <c r="F21" s="50"/>
      <c r="G21" s="50"/>
      <c r="H21" s="9"/>
      <c r="I21" s="9"/>
      <c r="J21" s="50"/>
      <c r="K21" s="52"/>
      <c r="L21" s="53"/>
    </row>
    <row r="22" spans="1:12" x14ac:dyDescent="0.3">
      <c r="A22" s="9" t="s">
        <v>44</v>
      </c>
      <c r="B22" s="9" t="s">
        <v>45</v>
      </c>
      <c r="C22" s="55">
        <v>64.489999999999995</v>
      </c>
      <c r="D22" s="34">
        <v>0.75</v>
      </c>
      <c r="E22" s="55">
        <f>+D22*C22</f>
        <v>48.367499999999993</v>
      </c>
      <c r="F22" s="50" t="s">
        <v>85</v>
      </c>
      <c r="G22" s="50" t="s">
        <v>46</v>
      </c>
      <c r="H22" s="9" t="s">
        <v>47</v>
      </c>
      <c r="I22" s="66">
        <v>20</v>
      </c>
      <c r="J22" s="68">
        <f>+E22*I22</f>
        <v>967.34999999999991</v>
      </c>
      <c r="K22" s="56">
        <f>+J22/J24</f>
        <v>7.0623149733342577E-2</v>
      </c>
      <c r="L22" s="53">
        <f>+K22*E3</f>
        <v>1059347.2460001386</v>
      </c>
    </row>
    <row r="23" spans="1:12" ht="7.2" customHeight="1" x14ac:dyDescent="0.3">
      <c r="A23" s="9"/>
      <c r="B23" s="9"/>
      <c r="C23" s="50"/>
      <c r="D23" s="54"/>
      <c r="E23" s="51"/>
      <c r="F23" s="50"/>
      <c r="G23" s="50"/>
      <c r="H23" s="9"/>
      <c r="I23" s="9"/>
      <c r="J23" s="50"/>
      <c r="K23" s="57"/>
      <c r="L23" s="58"/>
    </row>
    <row r="24" spans="1:12" x14ac:dyDescent="0.3">
      <c r="A24" s="9" t="s">
        <v>48</v>
      </c>
      <c r="B24" s="9"/>
      <c r="C24" s="50">
        <f>SUM(C20:C23)</f>
        <v>2610.4899999999998</v>
      </c>
      <c r="D24" s="54" t="s">
        <v>14</v>
      </c>
      <c r="E24" s="51">
        <f>SUM(E20:E23)</f>
        <v>1321.3675000000001</v>
      </c>
      <c r="F24" s="50"/>
      <c r="G24" s="50"/>
      <c r="H24" s="9"/>
      <c r="I24" s="9"/>
      <c r="J24" s="50">
        <f>SUM(J20:J23)</f>
        <v>13697.35</v>
      </c>
      <c r="K24" s="57">
        <f>SUM(K20:K23)</f>
        <v>1</v>
      </c>
      <c r="L24" s="53">
        <f>+L20+L22</f>
        <v>15000000</v>
      </c>
    </row>
    <row r="25" spans="1:12" ht="7.2" customHeight="1" x14ac:dyDescent="0.3">
      <c r="A25" s="9"/>
      <c r="B25" s="9"/>
      <c r="C25" s="50"/>
      <c r="D25" s="54"/>
      <c r="E25" s="50"/>
      <c r="F25" s="50"/>
      <c r="G25" s="50"/>
      <c r="H25" s="9"/>
      <c r="I25" s="9"/>
      <c r="J25" s="50"/>
      <c r="K25" s="65"/>
      <c r="L25" s="62"/>
    </row>
    <row r="26" spans="1:12" ht="7.2" customHeight="1" x14ac:dyDescent="0.3">
      <c r="A26" s="5"/>
      <c r="B26" s="5"/>
      <c r="C26" s="69"/>
      <c r="D26" s="70"/>
      <c r="E26" s="69"/>
      <c r="F26" s="69"/>
      <c r="G26" s="69"/>
      <c r="H26" s="5"/>
      <c r="I26" s="5"/>
      <c r="J26" s="69"/>
      <c r="K26" s="71"/>
      <c r="L26" s="58"/>
    </row>
    <row r="27" spans="1:12" x14ac:dyDescent="0.3">
      <c r="A27" s="45" t="s">
        <v>60</v>
      </c>
      <c r="D27" s="63"/>
      <c r="K27" s="64"/>
      <c r="L27" s="58"/>
    </row>
    <row r="28" spans="1:12" ht="7.2" customHeight="1" x14ac:dyDescent="0.3">
      <c r="D28" s="63"/>
      <c r="K28" s="64"/>
      <c r="L28" s="58"/>
    </row>
    <row r="29" spans="1:12" x14ac:dyDescent="0.3">
      <c r="A29" s="48" t="s">
        <v>29</v>
      </c>
      <c r="B29" s="48" t="s">
        <v>30</v>
      </c>
      <c r="C29" s="48" t="s">
        <v>49</v>
      </c>
      <c r="D29" s="48" t="s">
        <v>87</v>
      </c>
      <c r="E29" s="48" t="s">
        <v>84</v>
      </c>
      <c r="F29" s="48" t="s">
        <v>32</v>
      </c>
      <c r="G29" s="48" t="s">
        <v>33</v>
      </c>
      <c r="H29" s="48" t="s">
        <v>34</v>
      </c>
      <c r="I29" s="48" t="s">
        <v>95</v>
      </c>
      <c r="J29" s="48" t="s">
        <v>36</v>
      </c>
      <c r="K29" s="81" t="s">
        <v>52</v>
      </c>
      <c r="L29" s="49" t="s">
        <v>38</v>
      </c>
    </row>
    <row r="30" spans="1:12" ht="7.2" customHeight="1" x14ac:dyDescent="0.3">
      <c r="A30" s="9"/>
      <c r="B30" s="9"/>
      <c r="C30" s="50"/>
      <c r="D30" s="54"/>
      <c r="E30" s="50"/>
      <c r="F30" s="50"/>
      <c r="G30" s="50"/>
      <c r="H30" s="9"/>
      <c r="I30" s="9"/>
      <c r="J30" s="9"/>
      <c r="K30" s="65"/>
      <c r="L30" s="58"/>
    </row>
    <row r="31" spans="1:12" x14ac:dyDescent="0.3">
      <c r="A31" s="9" t="s">
        <v>39</v>
      </c>
      <c r="B31" s="9" t="s">
        <v>40</v>
      </c>
      <c r="C31" s="50">
        <v>2546</v>
      </c>
      <c r="D31" s="54" t="str">
        <f>+D9</f>
        <v>not considered</v>
      </c>
      <c r="E31" s="54" t="s">
        <v>96</v>
      </c>
      <c r="F31" s="54" t="str">
        <f t="shared" ref="F31" si="0">+F9</f>
        <v>ASC</v>
      </c>
      <c r="G31" s="54" t="s">
        <v>86</v>
      </c>
      <c r="H31" s="54" t="s">
        <v>96</v>
      </c>
      <c r="I31" s="54" t="s">
        <v>96</v>
      </c>
      <c r="J31" s="54" t="s">
        <v>96</v>
      </c>
      <c r="K31" s="52">
        <v>1</v>
      </c>
      <c r="L31" s="53">
        <f>+K31*E3</f>
        <v>15000000</v>
      </c>
    </row>
    <row r="32" spans="1:12" ht="7.2" customHeight="1" x14ac:dyDescent="0.3">
      <c r="A32" s="9"/>
      <c r="B32" s="9"/>
      <c r="C32" s="50"/>
      <c r="D32" s="54"/>
      <c r="E32" s="51"/>
      <c r="F32" s="50"/>
      <c r="G32" s="50"/>
      <c r="H32" s="9"/>
      <c r="I32" s="9"/>
      <c r="J32" s="72"/>
      <c r="K32" s="52"/>
      <c r="L32" s="53"/>
    </row>
    <row r="33" spans="1:12" x14ac:dyDescent="0.3">
      <c r="A33" s="9" t="s">
        <v>44</v>
      </c>
      <c r="B33" s="9" t="s">
        <v>45</v>
      </c>
      <c r="C33" s="55">
        <v>64.489999999999995</v>
      </c>
      <c r="D33" s="54" t="s">
        <v>96</v>
      </c>
      <c r="E33" s="54" t="s">
        <v>96</v>
      </c>
      <c r="F33" s="54" t="str">
        <f t="shared" ref="F33" si="1">+F11</f>
        <v>ASC</v>
      </c>
      <c r="G33" s="54" t="s">
        <v>46</v>
      </c>
      <c r="H33" s="54" t="s">
        <v>96</v>
      </c>
      <c r="I33" s="54" t="s">
        <v>96</v>
      </c>
      <c r="J33" s="54" t="s">
        <v>96</v>
      </c>
      <c r="K33" s="56">
        <v>0</v>
      </c>
      <c r="L33" s="53">
        <f>+K33*E3</f>
        <v>0</v>
      </c>
    </row>
    <row r="34" spans="1:12" ht="7.2" customHeight="1" x14ac:dyDescent="0.3">
      <c r="A34" s="9"/>
      <c r="B34" s="9"/>
      <c r="C34" s="50"/>
      <c r="D34" s="54"/>
      <c r="E34" s="51"/>
      <c r="F34" s="50"/>
      <c r="G34" s="50"/>
      <c r="H34" s="9"/>
      <c r="I34" s="9"/>
      <c r="J34" s="72"/>
      <c r="K34" s="52"/>
      <c r="L34" s="58"/>
    </row>
    <row r="35" spans="1:12" x14ac:dyDescent="0.3">
      <c r="A35" s="9" t="s">
        <v>48</v>
      </c>
      <c r="B35" s="9"/>
      <c r="C35" s="50">
        <f>SUM(C31:C34)</f>
        <v>2610.4899999999998</v>
      </c>
      <c r="D35" s="54"/>
      <c r="E35" s="51"/>
      <c r="F35" s="50"/>
      <c r="G35" s="50"/>
      <c r="H35" s="9"/>
      <c r="I35" s="9"/>
      <c r="J35" s="50"/>
      <c r="K35" s="52">
        <f>SUM(K31:K33)</f>
        <v>1</v>
      </c>
      <c r="L35" s="53">
        <f>+L31+L33</f>
        <v>15000000</v>
      </c>
    </row>
    <row r="36" spans="1:12" ht="7.2" customHeight="1" x14ac:dyDescent="0.3">
      <c r="A36" s="1"/>
      <c r="B36" s="1"/>
      <c r="C36" s="73"/>
      <c r="D36" s="74"/>
      <c r="E36" s="73"/>
      <c r="F36" s="73"/>
      <c r="G36" s="73"/>
      <c r="H36" s="1"/>
      <c r="I36" s="1"/>
      <c r="J36" s="75"/>
      <c r="K36" s="76"/>
      <c r="L36" s="62"/>
    </row>
    <row r="37" spans="1:12" ht="7.2" customHeight="1" x14ac:dyDescent="0.3">
      <c r="A37" s="9"/>
      <c r="B37" s="9"/>
      <c r="C37" s="50"/>
      <c r="D37" s="54"/>
      <c r="E37" s="50"/>
      <c r="F37" s="50"/>
      <c r="G37" s="50"/>
      <c r="H37" s="9"/>
      <c r="I37" s="9"/>
      <c r="J37" s="54"/>
      <c r="K37" s="57"/>
      <c r="L37" s="58"/>
    </row>
    <row r="38" spans="1:12" x14ac:dyDescent="0.3">
      <c r="A38" s="45" t="s">
        <v>61</v>
      </c>
      <c r="D38" s="63"/>
      <c r="K38" s="64"/>
      <c r="L38" s="58"/>
    </row>
    <row r="39" spans="1:12" ht="7.2" customHeight="1" x14ac:dyDescent="0.3">
      <c r="D39" s="63"/>
      <c r="K39" s="64"/>
      <c r="L39" s="58"/>
    </row>
    <row r="40" spans="1:12" x14ac:dyDescent="0.3">
      <c r="A40" s="48" t="s">
        <v>29</v>
      </c>
      <c r="B40" s="48" t="s">
        <v>30</v>
      </c>
      <c r="C40" s="48" t="s">
        <v>49</v>
      </c>
      <c r="D40" s="48" t="s">
        <v>87</v>
      </c>
      <c r="E40" s="48" t="s">
        <v>84</v>
      </c>
      <c r="F40" s="48" t="s">
        <v>32</v>
      </c>
      <c r="G40" s="48" t="s">
        <v>33</v>
      </c>
      <c r="H40" s="48" t="s">
        <v>34</v>
      </c>
      <c r="I40" s="48" t="s">
        <v>95</v>
      </c>
      <c r="J40" s="48" t="s">
        <v>36</v>
      </c>
      <c r="K40" s="81" t="s">
        <v>52</v>
      </c>
      <c r="L40" s="49" t="s">
        <v>38</v>
      </c>
    </row>
    <row r="41" spans="1:12" ht="7.2" customHeight="1" x14ac:dyDescent="0.3">
      <c r="A41" s="9"/>
      <c r="B41" s="9"/>
      <c r="C41" s="50"/>
      <c r="D41" s="54"/>
      <c r="E41" s="50"/>
      <c r="F41" s="50"/>
      <c r="G41" s="50"/>
      <c r="H41" s="9"/>
      <c r="I41" s="9"/>
      <c r="J41" s="9"/>
      <c r="K41" s="65"/>
      <c r="L41" s="58"/>
    </row>
    <row r="42" spans="1:12" x14ac:dyDescent="0.3">
      <c r="A42" s="9" t="s">
        <v>39</v>
      </c>
      <c r="B42" s="9" t="s">
        <v>40</v>
      </c>
      <c r="C42" s="50">
        <v>2546</v>
      </c>
      <c r="D42" s="34">
        <f>+D20</f>
        <v>0.5</v>
      </c>
      <c r="E42" s="51">
        <f>+C42*D42</f>
        <v>1273</v>
      </c>
      <c r="F42" s="50" t="s">
        <v>85</v>
      </c>
      <c r="G42" s="50" t="s">
        <v>86</v>
      </c>
      <c r="H42" s="9" t="s">
        <v>43</v>
      </c>
      <c r="I42" s="66">
        <v>10</v>
      </c>
      <c r="J42" s="67">
        <f>+E42*I42</f>
        <v>12730</v>
      </c>
      <c r="K42" s="52">
        <f>+J42/J46</f>
        <v>0.92937685026665739</v>
      </c>
      <c r="L42" s="53">
        <f>+L20</f>
        <v>13940652.753999861</v>
      </c>
    </row>
    <row r="43" spans="1:12" ht="7.2" customHeight="1" x14ac:dyDescent="0.3">
      <c r="A43" s="9"/>
      <c r="B43" s="9"/>
      <c r="C43" s="50"/>
      <c r="D43" s="54"/>
      <c r="E43" s="51"/>
      <c r="F43" s="50"/>
      <c r="G43" s="50"/>
      <c r="H43" s="9"/>
      <c r="I43" s="9"/>
      <c r="J43" s="50"/>
      <c r="K43" s="52"/>
      <c r="L43" s="53"/>
    </row>
    <row r="44" spans="1:12" x14ac:dyDescent="0.3">
      <c r="A44" s="9" t="s">
        <v>44</v>
      </c>
      <c r="B44" s="9" t="s">
        <v>45</v>
      </c>
      <c r="C44" s="55">
        <v>64.489999999999995</v>
      </c>
      <c r="D44" s="34">
        <f>+D22</f>
        <v>0.75</v>
      </c>
      <c r="E44" s="51">
        <f>+C44*D44</f>
        <v>48.367499999999993</v>
      </c>
      <c r="F44" s="50" t="s">
        <v>85</v>
      </c>
      <c r="G44" s="50" t="s">
        <v>46</v>
      </c>
      <c r="H44" s="9" t="s">
        <v>47</v>
      </c>
      <c r="I44" s="66">
        <v>20</v>
      </c>
      <c r="J44" s="68">
        <f>+E44*I44</f>
        <v>967.34999999999991</v>
      </c>
      <c r="K44" s="56">
        <f>+J44/J46</f>
        <v>7.0623149733342577E-2</v>
      </c>
      <c r="L44" s="53">
        <f>+L22</f>
        <v>1059347.2460001386</v>
      </c>
    </row>
    <row r="45" spans="1:12" ht="7.2" customHeight="1" x14ac:dyDescent="0.3">
      <c r="A45" s="9"/>
      <c r="B45" s="9"/>
      <c r="C45" s="50"/>
      <c r="D45" s="54"/>
      <c r="E45" s="51"/>
      <c r="F45" s="50"/>
      <c r="G45" s="50"/>
      <c r="H45" s="9"/>
      <c r="I45" s="9"/>
      <c r="J45" s="72"/>
      <c r="K45" s="72"/>
      <c r="L45" s="58"/>
    </row>
    <row r="46" spans="1:12" x14ac:dyDescent="0.3">
      <c r="A46" s="9" t="s">
        <v>48</v>
      </c>
      <c r="B46" s="9"/>
      <c r="C46" s="50">
        <f>SUM(C42:C45)</f>
        <v>2610.4899999999998</v>
      </c>
      <c r="D46" s="54" t="s">
        <v>14</v>
      </c>
      <c r="E46" s="51">
        <f>SUM(E42:E45)</f>
        <v>1321.3675000000001</v>
      </c>
      <c r="F46" s="50"/>
      <c r="G46" s="50"/>
      <c r="H46" s="9"/>
      <c r="I46" s="9"/>
      <c r="J46" s="50">
        <f>+J42+J44</f>
        <v>13697.35</v>
      </c>
      <c r="K46" s="72">
        <f>SUM(K42:K45)</f>
        <v>1</v>
      </c>
      <c r="L46" s="53">
        <f>+L42+L44</f>
        <v>15000000</v>
      </c>
    </row>
    <row r="47" spans="1:12" ht="7.2" customHeight="1" x14ac:dyDescent="0.3">
      <c r="A47" s="1"/>
      <c r="B47" s="1"/>
      <c r="C47" s="1"/>
      <c r="D47" s="1"/>
      <c r="E47" s="73"/>
      <c r="F47" s="73"/>
      <c r="G47" s="73"/>
      <c r="H47" s="1"/>
      <c r="I47" s="1"/>
      <c r="J47" s="74"/>
      <c r="K47" s="74"/>
      <c r="L47" s="62"/>
    </row>
    <row r="48" spans="1:12" ht="7.2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77"/>
    </row>
    <row r="49" spans="1:12" x14ac:dyDescent="0.3">
      <c r="A49" s="45" t="s">
        <v>1</v>
      </c>
      <c r="L49" s="10"/>
    </row>
    <row r="50" spans="1:12" ht="7.2" customHeight="1" x14ac:dyDescent="0.3">
      <c r="A50" s="45"/>
      <c r="L50" s="10"/>
    </row>
    <row r="51" spans="1:12" x14ac:dyDescent="0.3">
      <c r="A51" t="s">
        <v>82</v>
      </c>
      <c r="L51" s="10"/>
    </row>
    <row r="52" spans="1:12" ht="7.2" customHeight="1" x14ac:dyDescent="0.3">
      <c r="L52" s="10"/>
    </row>
    <row r="53" spans="1:12" x14ac:dyDescent="0.3">
      <c r="A53" s="78" t="s">
        <v>83</v>
      </c>
      <c r="L53" s="10"/>
    </row>
    <row r="54" spans="1:12" ht="7.2" customHeight="1" x14ac:dyDescent="0.3">
      <c r="L54" s="10"/>
    </row>
    <row r="55" spans="1:12" x14ac:dyDescent="0.3">
      <c r="L55" s="10"/>
    </row>
    <row r="56" spans="1:12" ht="7.2" customHeight="1" x14ac:dyDescent="0.3">
      <c r="L56" s="10"/>
    </row>
    <row r="57" spans="1:12" x14ac:dyDescent="0.3">
      <c r="L57" s="10"/>
    </row>
    <row r="58" spans="1:12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17"/>
    </row>
  </sheetData>
  <printOptions gridLines="1"/>
  <pageMargins left="1" right="1" top="1" bottom="0.75" header="0.3" footer="0.3"/>
  <pageSetup paperSize="3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2A08-779F-4534-A020-0068C782BBB8}">
  <sheetPr codeName="Sheet3">
    <pageSetUpPr fitToPage="1"/>
  </sheetPr>
  <dimension ref="A1:R36"/>
  <sheetViews>
    <sheetView topLeftCell="D1" workbookViewId="0">
      <selection activeCell="C25" sqref="C25"/>
    </sheetView>
  </sheetViews>
  <sheetFormatPr defaultRowHeight="14.4" x14ac:dyDescent="0.3"/>
  <cols>
    <col min="1" max="1" width="60.21875" customWidth="1"/>
    <col min="2" max="17" width="12.6640625" customWidth="1"/>
    <col min="18" max="18" width="28.5546875" customWidth="1"/>
  </cols>
  <sheetData>
    <row r="1" spans="1:18" x14ac:dyDescent="0.3">
      <c r="A1" s="4" t="s">
        <v>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ht="7.05" customHeight="1" x14ac:dyDescent="0.3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pans="1:18" x14ac:dyDescent="0.3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pans="1:18" ht="6" customHeight="1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1:18" x14ac:dyDescent="0.3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0"/>
    </row>
    <row r="6" spans="1:18" ht="6" customHeigh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0"/>
    </row>
    <row r="7" spans="1:18" x14ac:dyDescent="0.3">
      <c r="A7" s="13" t="s">
        <v>16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0"/>
    </row>
    <row r="8" spans="1:18" ht="6" customHeight="1" x14ac:dyDescent="0.3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0"/>
    </row>
    <row r="9" spans="1:18" x14ac:dyDescent="0.3">
      <c r="A9" s="11" t="s">
        <v>15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0"/>
    </row>
    <row r="10" spans="1:18" ht="6" customHeight="1" x14ac:dyDescent="0.3">
      <c r="A10" s="1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0"/>
    </row>
    <row r="11" spans="1:18" x14ac:dyDescent="0.3">
      <c r="A11" s="13" t="s">
        <v>63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0"/>
    </row>
    <row r="12" spans="1:18" ht="6" customHeight="1" x14ac:dyDescent="0.3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0"/>
    </row>
    <row r="13" spans="1:18" x14ac:dyDescent="0.3">
      <c r="A13" s="13" t="s">
        <v>79</v>
      </c>
      <c r="C13" s="9"/>
      <c r="E13" s="33">
        <v>15000000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0"/>
    </row>
    <row r="14" spans="1:18" ht="6" customHeight="1" x14ac:dyDescent="0.3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</row>
    <row r="15" spans="1:18" ht="14.4" customHeight="1" x14ac:dyDescent="0.3">
      <c r="A15" s="13" t="s">
        <v>23</v>
      </c>
      <c r="B15" s="34">
        <v>0.1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0"/>
    </row>
    <row r="16" spans="1:18" ht="6" customHeight="1" x14ac:dyDescent="0.3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</row>
    <row r="17" spans="1:18" ht="15" customHeight="1" x14ac:dyDescent="0.3">
      <c r="A17" s="13" t="s">
        <v>88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</row>
    <row r="18" spans="1:18" ht="6" customHeight="1" x14ac:dyDescent="0.3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7"/>
    </row>
    <row r="19" spans="1:18" ht="6" customHeight="1" x14ac:dyDescent="0.3">
      <c r="A19" s="1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3">
      <c r="A20" s="18" t="s">
        <v>0</v>
      </c>
      <c r="B20" s="19" t="s">
        <v>62</v>
      </c>
      <c r="C20" s="19" t="s">
        <v>64</v>
      </c>
      <c r="D20" s="19" t="s">
        <v>65</v>
      </c>
      <c r="E20" s="19" t="s">
        <v>66</v>
      </c>
      <c r="F20" s="19" t="s">
        <v>67</v>
      </c>
      <c r="G20" s="19" t="s">
        <v>68</v>
      </c>
      <c r="H20" s="19" t="s">
        <v>69</v>
      </c>
      <c r="I20" s="19" t="s">
        <v>70</v>
      </c>
      <c r="J20" s="19" t="s">
        <v>71</v>
      </c>
      <c r="K20" s="19" t="s">
        <v>72</v>
      </c>
      <c r="L20" s="19" t="s">
        <v>73</v>
      </c>
      <c r="M20" s="19" t="s">
        <v>74</v>
      </c>
      <c r="N20" s="19" t="s">
        <v>75</v>
      </c>
      <c r="O20" s="19" t="s">
        <v>76</v>
      </c>
      <c r="P20" s="19" t="s">
        <v>77</v>
      </c>
      <c r="Q20" s="19" t="s">
        <v>78</v>
      </c>
      <c r="R20" s="36" t="s">
        <v>3</v>
      </c>
    </row>
    <row r="21" spans="1:18" ht="6" customHeight="1" x14ac:dyDescent="0.3">
      <c r="A21" s="2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8" ht="6" customHeight="1" x14ac:dyDescent="0.3">
      <c r="A22" s="2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38"/>
    </row>
    <row r="23" spans="1:18" x14ac:dyDescent="0.3">
      <c r="A23" s="11" t="s">
        <v>81</v>
      </c>
      <c r="B23" s="31">
        <f>+E13</f>
        <v>15000000</v>
      </c>
      <c r="C23" s="31">
        <f>+B23+(B23*B15)</f>
        <v>16500000</v>
      </c>
      <c r="D23" s="31">
        <f>+C23+(C23*B15)</f>
        <v>18150000</v>
      </c>
      <c r="E23" s="31">
        <f>+D23+(D23*B15)</f>
        <v>19965000</v>
      </c>
      <c r="F23" s="31">
        <f>+E23+(E23*B15)</f>
        <v>21961500</v>
      </c>
      <c r="G23" s="31">
        <f>+F23+(F23*B15)</f>
        <v>24157650</v>
      </c>
      <c r="H23" s="22" t="s">
        <v>14</v>
      </c>
      <c r="I23" s="22" t="s">
        <v>14</v>
      </c>
      <c r="J23" s="22" t="s">
        <v>14</v>
      </c>
      <c r="K23" s="22" t="s">
        <v>14</v>
      </c>
      <c r="L23" s="22" t="s">
        <v>14</v>
      </c>
      <c r="M23" s="22" t="s">
        <v>14</v>
      </c>
      <c r="N23" s="22" t="s">
        <v>14</v>
      </c>
      <c r="O23" s="22" t="s">
        <v>14</v>
      </c>
      <c r="P23" s="22" t="s">
        <v>14</v>
      </c>
      <c r="Q23" s="22" t="s">
        <v>14</v>
      </c>
      <c r="R23" s="38" t="s">
        <v>22</v>
      </c>
    </row>
    <row r="24" spans="1:18" ht="6" customHeight="1" x14ac:dyDescent="0.3">
      <c r="A24" s="20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8" x14ac:dyDescent="0.3">
      <c r="A25" s="11" t="s">
        <v>92</v>
      </c>
      <c r="B25" s="24">
        <v>1059347</v>
      </c>
      <c r="C25" s="24">
        <f>+C23*(0.076)</f>
        <v>1254000</v>
      </c>
      <c r="D25" s="24">
        <f t="shared" ref="D25:G25" si="0">+D23*(0.076)</f>
        <v>1379400</v>
      </c>
      <c r="E25" s="24">
        <f t="shared" si="0"/>
        <v>1517340</v>
      </c>
      <c r="F25" s="24">
        <f t="shared" si="0"/>
        <v>1669074</v>
      </c>
      <c r="G25" s="24">
        <f t="shared" si="0"/>
        <v>1835981.4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9" t="s">
        <v>27</v>
      </c>
    </row>
    <row r="26" spans="1:18" ht="6" customHeight="1" x14ac:dyDescent="0.3">
      <c r="A26" s="20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8"/>
    </row>
    <row r="27" spans="1:18" x14ac:dyDescent="0.3">
      <c r="A27" s="25" t="s">
        <v>8</v>
      </c>
      <c r="B27" s="26">
        <v>0.1</v>
      </c>
      <c r="C27" s="26">
        <v>0.1</v>
      </c>
      <c r="D27" s="26">
        <v>0.1</v>
      </c>
      <c r="E27" s="26">
        <v>0.1</v>
      </c>
      <c r="F27" s="26">
        <v>0.1</v>
      </c>
      <c r="G27" s="26">
        <v>0.1</v>
      </c>
      <c r="H27" s="26">
        <v>0.1</v>
      </c>
      <c r="I27" s="26">
        <v>0.1</v>
      </c>
      <c r="J27" s="26">
        <v>0.1</v>
      </c>
      <c r="K27" s="26">
        <v>0.1</v>
      </c>
      <c r="L27" s="26">
        <v>0.1</v>
      </c>
      <c r="M27" s="26">
        <v>0.1</v>
      </c>
      <c r="N27" s="26">
        <v>0.1</v>
      </c>
      <c r="O27" s="26">
        <v>0.1</v>
      </c>
      <c r="P27" s="26">
        <v>0.1</v>
      </c>
      <c r="Q27" s="26">
        <v>0.1</v>
      </c>
      <c r="R27" s="39" t="s">
        <v>10</v>
      </c>
    </row>
    <row r="28" spans="1:18" ht="6" customHeight="1" x14ac:dyDescent="0.3">
      <c r="A28" s="2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9"/>
    </row>
    <row r="29" spans="1:18" x14ac:dyDescent="0.3">
      <c r="A29" s="11" t="s">
        <v>9</v>
      </c>
      <c r="B29" s="27">
        <v>0</v>
      </c>
      <c r="C29" s="28">
        <f>+B25*1.1</f>
        <v>1165281.7000000002</v>
      </c>
      <c r="D29" s="28">
        <f>+C31*1.1</f>
        <v>2661209.8700000006</v>
      </c>
      <c r="E29" s="28">
        <f t="shared" ref="E29:Q29" si="1">+D31*1.1</f>
        <v>4444670.8570000008</v>
      </c>
      <c r="F29" s="28">
        <f t="shared" si="1"/>
        <v>6558211.9427000014</v>
      </c>
      <c r="G29" s="28">
        <f t="shared" si="1"/>
        <v>9050014.5369700026</v>
      </c>
      <c r="H29" s="28">
        <f t="shared" si="1"/>
        <v>11974595.530667005</v>
      </c>
      <c r="I29" s="28">
        <f t="shared" si="1"/>
        <v>13172055.083733706</v>
      </c>
      <c r="J29" s="28">
        <f>+I31*1.1</f>
        <v>14489260.592107078</v>
      </c>
      <c r="K29" s="28">
        <f t="shared" si="1"/>
        <v>15938186.651317786</v>
      </c>
      <c r="L29" s="28">
        <f t="shared" si="1"/>
        <v>17532005.316449568</v>
      </c>
      <c r="M29" s="28">
        <f t="shared" si="1"/>
        <v>19285205.848094527</v>
      </c>
      <c r="N29" s="28">
        <f t="shared" si="1"/>
        <v>21213726.432903983</v>
      </c>
      <c r="O29" s="28">
        <f t="shared" si="1"/>
        <v>23335099.076194383</v>
      </c>
      <c r="P29" s="28">
        <f t="shared" si="1"/>
        <v>25668608.983813822</v>
      </c>
      <c r="Q29" s="28">
        <f t="shared" si="1"/>
        <v>28235469.882195208</v>
      </c>
      <c r="R29" s="39" t="str">
        <f>+R25</f>
        <v>confirm with forensic accountant</v>
      </c>
    </row>
    <row r="30" spans="1:18" ht="6" customHeight="1" x14ac:dyDescent="0.3">
      <c r="A30" s="11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39"/>
    </row>
    <row r="31" spans="1:18" x14ac:dyDescent="0.3">
      <c r="A31" s="42" t="s">
        <v>28</v>
      </c>
      <c r="B31" s="79">
        <v>0</v>
      </c>
      <c r="C31" s="80">
        <f>+C25+C29</f>
        <v>2419281.7000000002</v>
      </c>
      <c r="D31" s="80">
        <f t="shared" ref="D31:Q31" si="2">+D25+D29</f>
        <v>4040609.8700000006</v>
      </c>
      <c r="E31" s="80">
        <f t="shared" si="2"/>
        <v>5962010.8570000008</v>
      </c>
      <c r="F31" s="80">
        <f t="shared" si="2"/>
        <v>8227285.9427000014</v>
      </c>
      <c r="G31" s="80">
        <f t="shared" si="2"/>
        <v>10885995.936970003</v>
      </c>
      <c r="H31" s="80">
        <f t="shared" si="2"/>
        <v>11974595.530667005</v>
      </c>
      <c r="I31" s="80">
        <f t="shared" si="2"/>
        <v>13172055.083733706</v>
      </c>
      <c r="J31" s="80">
        <f t="shared" si="2"/>
        <v>14489260.592107078</v>
      </c>
      <c r="K31" s="80">
        <f t="shared" si="2"/>
        <v>15938186.651317786</v>
      </c>
      <c r="L31" s="80">
        <f t="shared" si="2"/>
        <v>17532005.316449568</v>
      </c>
      <c r="M31" s="80">
        <f t="shared" si="2"/>
        <v>19285205.848094527</v>
      </c>
      <c r="N31" s="80">
        <f t="shared" si="2"/>
        <v>21213726.432903983</v>
      </c>
      <c r="O31" s="80">
        <f t="shared" si="2"/>
        <v>23335099.076194383</v>
      </c>
      <c r="P31" s="80">
        <f t="shared" si="2"/>
        <v>25668608.983813822</v>
      </c>
      <c r="Q31" s="80">
        <f t="shared" si="2"/>
        <v>28235469.882195208</v>
      </c>
      <c r="R31" s="39"/>
    </row>
    <row r="32" spans="1:18" ht="7.05" customHeight="1" x14ac:dyDescent="0.3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7"/>
    </row>
    <row r="33" spans="2:18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</row>
    <row r="36" spans="2:18" x14ac:dyDescent="0.3">
      <c r="B36" s="82"/>
    </row>
  </sheetData>
  <phoneticPr fontId="5" type="noConversion"/>
  <printOptions horizontalCentered="1" gridLines="1"/>
  <pageMargins left="0.95" right="0.95" top="1.25" bottom="0.75" header="0.3" footer="0.3"/>
  <pageSetup paperSize="3" scale="7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Vail Rent Split</vt:lpstr>
      <vt:lpstr>Past Due Rent from Vail</vt:lpstr>
      <vt:lpstr>ASC Rent Split</vt:lpstr>
      <vt:lpstr>Past Due Rent from ASC</vt:lpstr>
      <vt:lpstr>'Past Due Rent from ASC'!Print_Area</vt:lpstr>
      <vt:lpstr>'Past Due Rent from Vail'!Print_Area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Jackson</dc:creator>
  <cp:lastModifiedBy>Gerald Jackson</cp:lastModifiedBy>
  <cp:lastPrinted>2025-09-20T22:15:20Z</cp:lastPrinted>
  <dcterms:created xsi:type="dcterms:W3CDTF">2025-02-12T18:37:38Z</dcterms:created>
  <dcterms:modified xsi:type="dcterms:W3CDTF">2025-09-22T18:41:58Z</dcterms:modified>
</cp:coreProperties>
</file>